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7715" windowHeight="8505"/>
  </bookViews>
  <sheets>
    <sheet name="resumen ejecucion NOVIIEMB2020" sheetId="2" r:id="rId1"/>
    <sheet name="grafico ejecuionNOVI2020" sheetId="4" r:id="rId2"/>
    <sheet name="Hoja1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25725"/>
</workbook>
</file>

<file path=xl/calcChain.xml><?xml version="1.0" encoding="utf-8"?>
<calcChain xmlns="http://schemas.openxmlformats.org/spreadsheetml/2006/main">
  <c r="I124" i="2"/>
  <c r="K118"/>
  <c r="K112"/>
  <c r="J112"/>
  <c r="J114" s="1"/>
  <c r="I112"/>
  <c r="I114" s="1"/>
  <c r="H112"/>
  <c r="G112"/>
  <c r="G114" s="1"/>
  <c r="J104"/>
  <c r="I104"/>
  <c r="H104"/>
  <c r="G104"/>
  <c r="C104"/>
  <c r="F104" s="1"/>
  <c r="K104" s="1"/>
  <c r="G103"/>
  <c r="C103"/>
  <c r="F103" s="1"/>
  <c r="J102"/>
  <c r="I102"/>
  <c r="H102"/>
  <c r="G102"/>
  <c r="E102"/>
  <c r="C102"/>
  <c r="G101"/>
  <c r="C101"/>
  <c r="F101" s="1"/>
  <c r="J100"/>
  <c r="G100"/>
  <c r="E100"/>
  <c r="C100"/>
  <c r="F100" s="1"/>
  <c r="K100" s="1"/>
  <c r="G99"/>
  <c r="H99" s="1"/>
  <c r="H98" s="1"/>
  <c r="E99"/>
  <c r="C99"/>
  <c r="F99" s="1"/>
  <c r="J98"/>
  <c r="I98"/>
  <c r="G98"/>
  <c r="E98"/>
  <c r="D98"/>
  <c r="C98"/>
  <c r="J97"/>
  <c r="I97"/>
  <c r="H97"/>
  <c r="G97"/>
  <c r="C97"/>
  <c r="F97" s="1"/>
  <c r="K97" s="1"/>
  <c r="G96"/>
  <c r="F96"/>
  <c r="K96" s="1"/>
  <c r="G95"/>
  <c r="E95"/>
  <c r="D95"/>
  <c r="F95" s="1"/>
  <c r="K95" s="1"/>
  <c r="C95"/>
  <c r="J94"/>
  <c r="I94"/>
  <c r="G94"/>
  <c r="H94" s="1"/>
  <c r="C94"/>
  <c r="F94" s="1"/>
  <c r="K94" s="1"/>
  <c r="J93"/>
  <c r="J92" s="1"/>
  <c r="J85" s="1"/>
  <c r="J78" s="1"/>
  <c r="I93"/>
  <c r="H93"/>
  <c r="H92" s="1"/>
  <c r="G93"/>
  <c r="E93"/>
  <c r="D93"/>
  <c r="F93" s="1"/>
  <c r="C93"/>
  <c r="I92"/>
  <c r="G92"/>
  <c r="E92"/>
  <c r="C92"/>
  <c r="J91"/>
  <c r="I91"/>
  <c r="H91"/>
  <c r="G91"/>
  <c r="E91"/>
  <c r="D91"/>
  <c r="F91" s="1"/>
  <c r="K91" s="1"/>
  <c r="C91"/>
  <c r="G90"/>
  <c r="F90"/>
  <c r="K90" s="1"/>
  <c r="C90"/>
  <c r="K89"/>
  <c r="G89"/>
  <c r="F89"/>
  <c r="C89"/>
  <c r="K88"/>
  <c r="F88"/>
  <c r="J87"/>
  <c r="I87"/>
  <c r="G87"/>
  <c r="H87" s="1"/>
  <c r="H85" s="1"/>
  <c r="H78" s="1"/>
  <c r="G121" s="1"/>
  <c r="C87"/>
  <c r="F87" s="1"/>
  <c r="H86"/>
  <c r="G86"/>
  <c r="F86"/>
  <c r="K86" s="1"/>
  <c r="C86"/>
  <c r="I85"/>
  <c r="G85"/>
  <c r="E85"/>
  <c r="C85"/>
  <c r="J84"/>
  <c r="J83" s="1"/>
  <c r="I84"/>
  <c r="H84"/>
  <c r="H83" s="1"/>
  <c r="G84"/>
  <c r="F84"/>
  <c r="K84" s="1"/>
  <c r="K83" s="1"/>
  <c r="C84"/>
  <c r="I83"/>
  <c r="G83"/>
  <c r="E83"/>
  <c r="D83"/>
  <c r="C83"/>
  <c r="F82"/>
  <c r="K82" s="1"/>
  <c r="G81"/>
  <c r="E81"/>
  <c r="D81"/>
  <c r="C81"/>
  <c r="F81" s="1"/>
  <c r="K81" s="1"/>
  <c r="G80"/>
  <c r="C80"/>
  <c r="F80" s="1"/>
  <c r="J79"/>
  <c r="I79"/>
  <c r="H79"/>
  <c r="G79"/>
  <c r="E79"/>
  <c r="D79"/>
  <c r="C79"/>
  <c r="I78"/>
  <c r="G78"/>
  <c r="E78"/>
  <c r="C78"/>
  <c r="F121" s="1"/>
  <c r="J77"/>
  <c r="G77"/>
  <c r="H77" s="1"/>
  <c r="I77" s="1"/>
  <c r="C77"/>
  <c r="F77" s="1"/>
  <c r="K77" s="1"/>
  <c r="C76"/>
  <c r="F76" s="1"/>
  <c r="K76" s="1"/>
  <c r="J75"/>
  <c r="H75"/>
  <c r="I75" s="1"/>
  <c r="G75"/>
  <c r="F75"/>
  <c r="K75" s="1"/>
  <c r="C75"/>
  <c r="J74"/>
  <c r="G74"/>
  <c r="H74" s="1"/>
  <c r="I74" s="1"/>
  <c r="C74"/>
  <c r="F74" s="1"/>
  <c r="K74" s="1"/>
  <c r="G73"/>
  <c r="H73" s="1"/>
  <c r="C73"/>
  <c r="F73" s="1"/>
  <c r="G72"/>
  <c r="E72"/>
  <c r="D72"/>
  <c r="C72"/>
  <c r="G71"/>
  <c r="E71"/>
  <c r="D71"/>
  <c r="C71"/>
  <c r="J70"/>
  <c r="G70"/>
  <c r="H70" s="1"/>
  <c r="I70" s="1"/>
  <c r="C70"/>
  <c r="F70" s="1"/>
  <c r="K70" s="1"/>
  <c r="J69"/>
  <c r="G69"/>
  <c r="H69" s="1"/>
  <c r="C69"/>
  <c r="F69" s="1"/>
  <c r="K69" s="1"/>
  <c r="J68"/>
  <c r="G68"/>
  <c r="I68" s="1"/>
  <c r="C68"/>
  <c r="F68" s="1"/>
  <c r="K68" s="1"/>
  <c r="J67"/>
  <c r="G67"/>
  <c r="H67" s="1"/>
  <c r="C67"/>
  <c r="F67" s="1"/>
  <c r="J66"/>
  <c r="G66"/>
  <c r="E66"/>
  <c r="D66"/>
  <c r="C66"/>
  <c r="J65"/>
  <c r="H65"/>
  <c r="I65" s="1"/>
  <c r="I64" s="1"/>
  <c r="G65"/>
  <c r="C65"/>
  <c r="F65" s="1"/>
  <c r="J64"/>
  <c r="H64"/>
  <c r="G64"/>
  <c r="E64"/>
  <c r="D64"/>
  <c r="C64"/>
  <c r="H63"/>
  <c r="I63" s="1"/>
  <c r="I62" s="1"/>
  <c r="F63"/>
  <c r="K63" s="1"/>
  <c r="K62" s="1"/>
  <c r="J62"/>
  <c r="H62"/>
  <c r="G62"/>
  <c r="F62"/>
  <c r="E62"/>
  <c r="D62"/>
  <c r="C62"/>
  <c r="J61"/>
  <c r="G61"/>
  <c r="H61" s="1"/>
  <c r="C61"/>
  <c r="F61" s="1"/>
  <c r="J60"/>
  <c r="G60"/>
  <c r="E60"/>
  <c r="D60"/>
  <c r="C60"/>
  <c r="H59"/>
  <c r="J59" s="1"/>
  <c r="F59"/>
  <c r="K58"/>
  <c r="G58"/>
  <c r="F58"/>
  <c r="E58"/>
  <c r="D58"/>
  <c r="C58"/>
  <c r="G57"/>
  <c r="E57"/>
  <c r="D57"/>
  <c r="C57"/>
  <c r="G56"/>
  <c r="E56"/>
  <c r="D56"/>
  <c r="C56"/>
  <c r="G55"/>
  <c r="E55"/>
  <c r="D55"/>
  <c r="C55"/>
  <c r="J54"/>
  <c r="I54"/>
  <c r="H54"/>
  <c r="G120" s="1"/>
  <c r="G54"/>
  <c r="E54"/>
  <c r="D54"/>
  <c r="C54"/>
  <c r="F120" s="1"/>
  <c r="F53"/>
  <c r="K53" s="1"/>
  <c r="J52"/>
  <c r="I52"/>
  <c r="H52"/>
  <c r="G119" s="1"/>
  <c r="G118" s="1"/>
  <c r="G52"/>
  <c r="D52"/>
  <c r="C52"/>
  <c r="F52" s="1"/>
  <c r="K52" s="1"/>
  <c r="J51"/>
  <c r="I51"/>
  <c r="H51"/>
  <c r="G123" s="1"/>
  <c r="G51"/>
  <c r="C51"/>
  <c r="F123" s="1"/>
  <c r="J50"/>
  <c r="I50"/>
  <c r="H50"/>
  <c r="G50"/>
  <c r="E50"/>
  <c r="D50"/>
  <c r="C50"/>
  <c r="G49"/>
  <c r="H49" s="1"/>
  <c r="C49"/>
  <c r="F49" s="1"/>
  <c r="K49" s="1"/>
  <c r="H48"/>
  <c r="I48" s="1"/>
  <c r="G48"/>
  <c r="E48"/>
  <c r="C48"/>
  <c r="F48" s="1"/>
  <c r="K48" s="1"/>
  <c r="J47"/>
  <c r="I47"/>
  <c r="H47"/>
  <c r="G47"/>
  <c r="C47"/>
  <c r="F47" s="1"/>
  <c r="K47" s="1"/>
  <c r="J46"/>
  <c r="I46"/>
  <c r="H46"/>
  <c r="G46"/>
  <c r="E46"/>
  <c r="C46"/>
  <c r="F46" s="1"/>
  <c r="G45"/>
  <c r="E45"/>
  <c r="D45"/>
  <c r="C45"/>
  <c r="J44"/>
  <c r="G44"/>
  <c r="H44" s="1"/>
  <c r="I44" s="1"/>
  <c r="C44"/>
  <c r="F44" s="1"/>
  <c r="K44" s="1"/>
  <c r="J43"/>
  <c r="H43"/>
  <c r="I43" s="1"/>
  <c r="G43"/>
  <c r="E43"/>
  <c r="C43"/>
  <c r="F43" s="1"/>
  <c r="K43" s="1"/>
  <c r="J42"/>
  <c r="G42"/>
  <c r="H42" s="1"/>
  <c r="I42" s="1"/>
  <c r="C42"/>
  <c r="F42" s="1"/>
  <c r="K42" s="1"/>
  <c r="J41"/>
  <c r="I41"/>
  <c r="H41"/>
  <c r="G41"/>
  <c r="C41"/>
  <c r="F41" s="1"/>
  <c r="K41" s="1"/>
  <c r="J40"/>
  <c r="I40"/>
  <c r="H40"/>
  <c r="G40"/>
  <c r="E40"/>
  <c r="C40"/>
  <c r="F40" s="1"/>
  <c r="K40" s="1"/>
  <c r="J39"/>
  <c r="I39"/>
  <c r="H39"/>
  <c r="G39"/>
  <c r="E39"/>
  <c r="C39"/>
  <c r="F39" s="1"/>
  <c r="K39" s="1"/>
  <c r="F38"/>
  <c r="K38" s="1"/>
  <c r="J37"/>
  <c r="H37"/>
  <c r="I37" s="1"/>
  <c r="G37"/>
  <c r="C37"/>
  <c r="F37" s="1"/>
  <c r="K37" s="1"/>
  <c r="J36"/>
  <c r="I36"/>
  <c r="H36"/>
  <c r="G36"/>
  <c r="C36"/>
  <c r="F36" s="1"/>
  <c r="K36" s="1"/>
  <c r="J35"/>
  <c r="G35"/>
  <c r="H35" s="1"/>
  <c r="E35"/>
  <c r="C35"/>
  <c r="F35" s="1"/>
  <c r="G34"/>
  <c r="E34"/>
  <c r="D34"/>
  <c r="C34"/>
  <c r="F117" s="1"/>
  <c r="G33"/>
  <c r="E33"/>
  <c r="D33"/>
  <c r="C33"/>
  <c r="G32"/>
  <c r="E32"/>
  <c r="C32"/>
  <c r="G31"/>
  <c r="G110" s="1"/>
  <c r="G113" s="1"/>
  <c r="E31"/>
  <c r="E110" s="1"/>
  <c r="C31"/>
  <c r="C110" s="1"/>
  <c r="C6" i="4"/>
  <c r="C4"/>
  <c r="C3"/>
  <c r="H119" i="2" l="1"/>
  <c r="I61"/>
  <c r="I60" s="1"/>
  <c r="H60"/>
  <c r="K67"/>
  <c r="K66" s="1"/>
  <c r="F66"/>
  <c r="K73"/>
  <c r="K72" s="1"/>
  <c r="K71" s="1"/>
  <c r="F72"/>
  <c r="F71" s="1"/>
  <c r="K93"/>
  <c r="K92" s="1"/>
  <c r="K85" s="1"/>
  <c r="F92"/>
  <c r="K103"/>
  <c r="K102" s="1"/>
  <c r="F102"/>
  <c r="K35"/>
  <c r="I35"/>
  <c r="F45"/>
  <c r="F34" s="1"/>
  <c r="K46"/>
  <c r="K45" s="1"/>
  <c r="J48"/>
  <c r="J45" s="1"/>
  <c r="H45"/>
  <c r="I49"/>
  <c r="J49" s="1"/>
  <c r="J57"/>
  <c r="J56" s="1"/>
  <c r="J58"/>
  <c r="K61"/>
  <c r="F60"/>
  <c r="F57"/>
  <c r="F56" s="1"/>
  <c r="F55" s="1"/>
  <c r="K65"/>
  <c r="K64" s="1"/>
  <c r="F64"/>
  <c r="I67"/>
  <c r="I73"/>
  <c r="H72"/>
  <c r="H71" s="1"/>
  <c r="F79"/>
  <c r="K80"/>
  <c r="K79" s="1"/>
  <c r="K87"/>
  <c r="F85"/>
  <c r="F98"/>
  <c r="K99"/>
  <c r="K98" s="1"/>
  <c r="F113"/>
  <c r="F54"/>
  <c r="K54" s="1"/>
  <c r="H120" s="1"/>
  <c r="H58"/>
  <c r="I59"/>
  <c r="H68"/>
  <c r="H66" s="1"/>
  <c r="H57" s="1"/>
  <c r="H56" s="1"/>
  <c r="H55" s="1"/>
  <c r="I69"/>
  <c r="F83"/>
  <c r="D92"/>
  <c r="D85" s="1"/>
  <c r="D78" s="1"/>
  <c r="D32" s="1"/>
  <c r="D31" s="1"/>
  <c r="D110" s="1"/>
  <c r="D112" s="1"/>
  <c r="F119"/>
  <c r="F118" s="1"/>
  <c r="F122" s="1"/>
  <c r="F51"/>
  <c r="B4" i="4"/>
  <c r="H34" i="2" l="1"/>
  <c r="K60"/>
  <c r="K57"/>
  <c r="K56" s="1"/>
  <c r="K55" s="1"/>
  <c r="K51"/>
  <c r="F50"/>
  <c r="F33" s="1"/>
  <c r="F32" s="1"/>
  <c r="F31" s="1"/>
  <c r="F110" s="1"/>
  <c r="I58"/>
  <c r="I57"/>
  <c r="I56" s="1"/>
  <c r="J73"/>
  <c r="J72" s="1"/>
  <c r="J71" s="1"/>
  <c r="I72"/>
  <c r="I71" s="1"/>
  <c r="K78"/>
  <c r="H121" s="1"/>
  <c r="J55"/>
  <c r="J34" s="1"/>
  <c r="J33" s="1"/>
  <c r="J32" s="1"/>
  <c r="J31" s="1"/>
  <c r="J110" s="1"/>
  <c r="J113" s="1"/>
  <c r="F124"/>
  <c r="F78"/>
  <c r="I66"/>
  <c r="I45"/>
  <c r="K34"/>
  <c r="H118"/>
  <c r="C5" i="4"/>
  <c r="B17" s="1"/>
  <c r="B3"/>
  <c r="F112" i="2" l="1"/>
  <c r="K119"/>
  <c r="H117"/>
  <c r="G117"/>
  <c r="H33"/>
  <c r="H32" s="1"/>
  <c r="H31" s="1"/>
  <c r="H110" s="1"/>
  <c r="H123"/>
  <c r="K50"/>
  <c r="K33" s="1"/>
  <c r="K32" s="1"/>
  <c r="K31" s="1"/>
  <c r="K110" s="1"/>
  <c r="K113" s="1"/>
  <c r="I55"/>
  <c r="I34" s="1"/>
  <c r="I33" s="1"/>
  <c r="I32" s="1"/>
  <c r="I31" s="1"/>
  <c r="I110" s="1"/>
  <c r="I113" s="1"/>
  <c r="B5" i="4"/>
  <c r="A17"/>
  <c r="G124" i="2" l="1"/>
  <c r="G122"/>
  <c r="H124"/>
  <c r="H122"/>
  <c r="H113"/>
  <c r="H114"/>
  <c r="C17" i="4"/>
</calcChain>
</file>

<file path=xl/sharedStrings.xml><?xml version="1.0" encoding="utf-8"?>
<sst xmlns="http://schemas.openxmlformats.org/spreadsheetml/2006/main" count="121" uniqueCount="114">
  <si>
    <t>SALDO</t>
  </si>
  <si>
    <t>PRESUPUESTO</t>
  </si>
  <si>
    <t>CREDITOS</t>
  </si>
  <si>
    <t>CONTRACREDITOS</t>
  </si>
  <si>
    <t>CERTIFICADO DE</t>
  </si>
  <si>
    <t>REGISTRO</t>
  </si>
  <si>
    <t>OBLIGACIONES</t>
  </si>
  <si>
    <t xml:space="preserve">DISPONIBLE </t>
  </si>
  <si>
    <t>CODIGO</t>
  </si>
  <si>
    <t>NOMBRE</t>
  </si>
  <si>
    <t>INICIAL</t>
  </si>
  <si>
    <t>DEFINITIVO</t>
  </si>
  <si>
    <t>DISPONIBILIDAD</t>
  </si>
  <si>
    <t>PRESUPUESTAL</t>
  </si>
  <si>
    <t>PAGOS</t>
  </si>
  <si>
    <t>GASTOS</t>
  </si>
  <si>
    <t>FUNCIONAMIENTO</t>
  </si>
  <si>
    <t>SERVICIOS PERSONALES</t>
  </si>
  <si>
    <t>SERVICIOS PERSONALES ASOCIADOS A LA NOMINA</t>
  </si>
  <si>
    <t>SUELDOS DE PERSONAL DE NOMINA</t>
  </si>
  <si>
    <t>BONIFICACION SERVICIOS PRESTADOS</t>
  </si>
  <si>
    <t>BONIFICACION ESPECIAL POR RECREACION</t>
  </si>
  <si>
    <t>HORAS EXTRAS Y DIAS FESTIVOS</t>
  </si>
  <si>
    <t>PRIMA DE NAVIDAD</t>
  </si>
  <si>
    <t>PRIMA DE SERVICIOS</t>
  </si>
  <si>
    <t>PRIMA DE VACACIONES</t>
  </si>
  <si>
    <t>SUBSIDIO DE ALIMENTACION</t>
  </si>
  <si>
    <t>AUXILIO DE TRANSPORTE</t>
  </si>
  <si>
    <t>INDEMNIZACION POR VACACIONES</t>
  </si>
  <si>
    <t>OTRAS REMUNERACIONES QUE NO SON FACTOR SALARIAL</t>
  </si>
  <si>
    <t>VACACIONES</t>
  </si>
  <si>
    <t>INTERESES A LA CESANTIA</t>
  </si>
  <si>
    <t>CESANTIAS DEFINITIVAS</t>
  </si>
  <si>
    <t>ANTICIPO DE CESANTIAS</t>
  </si>
  <si>
    <t>SERVICIOS PERSONALES INDIRECTOS</t>
  </si>
  <si>
    <t>HONORARIOS CONCEJALES</t>
  </si>
  <si>
    <t>HONORARIOS</t>
  </si>
  <si>
    <t>PERSONAL SUPERNUMERARIO</t>
  </si>
  <si>
    <t>REMUNERACION SERVICIOS TECNICOS</t>
  </si>
  <si>
    <t>CONTRIBUCIONES INHERENTES A LA NOMINA</t>
  </si>
  <si>
    <t>AL SECTOR PUBLICO</t>
  </si>
  <si>
    <t>APORTES A PREVISION SOCIAL</t>
  </si>
  <si>
    <t xml:space="preserve">CESANTIAS </t>
  </si>
  <si>
    <t>FONDO DE CESANTIAS -FONDO NACIONAL DEL AHORRO</t>
  </si>
  <si>
    <t>PENSIONES</t>
  </si>
  <si>
    <t xml:space="preserve">      2-1010301010304  </t>
  </si>
  <si>
    <t xml:space="preserve">COLPENSIONES </t>
  </si>
  <si>
    <t>SALUD</t>
  </si>
  <si>
    <t>NUEVA EPS</t>
  </si>
  <si>
    <t>ARP</t>
  </si>
  <si>
    <t xml:space="preserve">ADMINISTRADORAS RIESGOS LABORALES </t>
  </si>
  <si>
    <t>APORTES PARAFISCALES</t>
  </si>
  <si>
    <t>SERVICIO NACIONAL DE APRENDIZAJE -SENA</t>
  </si>
  <si>
    <t>INSTITUTO COLOMBIANO DE BIENESTAR FAMILIAR</t>
  </si>
  <si>
    <t>ESAP Y OTRAS UNIVERSIDADES</t>
  </si>
  <si>
    <t>ESCUELAS INDUSTRIALES E INSTITUTOS TECNICOS</t>
  </si>
  <si>
    <t>AL SECTOR PRIVADO</t>
  </si>
  <si>
    <t>FONDO DE CESANTIAS</t>
  </si>
  <si>
    <t>FONDO DE PENSIONES</t>
  </si>
  <si>
    <t>EMPRESAS PROMOTORAS DE SALUD</t>
  </si>
  <si>
    <t>ADMINISTRADORAS RIESGOS PROFESIONALES</t>
  </si>
  <si>
    <t xml:space="preserve">APORTES PARAFISCALES CAJAS DE COMPENSACION FAMILIAR </t>
  </si>
  <si>
    <t>GASTOS GENERALES</t>
  </si>
  <si>
    <t>ADQUISICION DE BIENES</t>
  </si>
  <si>
    <t>MATERIALES Y SUMINISTROS</t>
  </si>
  <si>
    <t>COMPRA DE EQUIPO</t>
  </si>
  <si>
    <t>DOTACION SUMINISTROS AL TRABAJADOR</t>
  </si>
  <si>
    <t>OTRAS ADQUISICIONES DE BIENES</t>
  </si>
  <si>
    <t>MATERIALES Y SUMINISTROS CAJA MENOR</t>
  </si>
  <si>
    <t>ADQUISICION DE SERVICIOS</t>
  </si>
  <si>
    <t>CAPACITACION</t>
  </si>
  <si>
    <t>VIATICOS Y GASTOS DE VIAJE</t>
  </si>
  <si>
    <t>SERVICIOS PUBLICOS</t>
  </si>
  <si>
    <t>COMUNICACION Y TRASPORTE</t>
  </si>
  <si>
    <t>PUBLICIDAD</t>
  </si>
  <si>
    <t>IMPRESOS Y PUBLICACIONES</t>
  </si>
  <si>
    <t>MANTENIMIENTO</t>
  </si>
  <si>
    <t>MANTENIMIENTO BIENES MUEBLES</t>
  </si>
  <si>
    <t>CAJA MENOR MANTENIMIENTO</t>
  </si>
  <si>
    <t>MANTENIMIENTO BIENES INMUEBLES</t>
  </si>
  <si>
    <t>MANTENIMIENTO VEHICULOS</t>
  </si>
  <si>
    <t>BIENESTAR SOCIAL</t>
  </si>
  <si>
    <t>OTRAS ADQUISICIONES DE SERVICIOS</t>
  </si>
  <si>
    <t>GASTOS PROTOCOLARIOS</t>
  </si>
  <si>
    <t>AFILIACIONES Y SUSCRIPCIONES</t>
  </si>
  <si>
    <t>PROVISION CARRERA ADMINISTRATIVA</t>
  </si>
  <si>
    <t xml:space="preserve">MULTAS </t>
  </si>
  <si>
    <t>COMUNICACIÓN Y TRANSPORTE - CAJA MENOR</t>
  </si>
  <si>
    <t>TOTAL</t>
  </si>
  <si>
    <t>%</t>
  </si>
  <si>
    <t xml:space="preserve">PTO INICIAL </t>
  </si>
  <si>
    <t xml:space="preserve">PTO EJECUTADO </t>
  </si>
  <si>
    <t xml:space="preserve">SALDO DISPONIBLE </t>
  </si>
  <si>
    <t>EJECUCION</t>
  </si>
  <si>
    <t>REMUNERACION DE SERVICIOS TECNICOS</t>
  </si>
  <si>
    <t xml:space="preserve">GASTOS GENERALES </t>
  </si>
  <si>
    <t xml:space="preserve">TOTAL TRANSFERENCIA 1.5 ICLD </t>
  </si>
  <si>
    <t xml:space="preserve">HONORARIOS CONCEJALES </t>
  </si>
  <si>
    <t>TOTAL PRESUPUESTO</t>
  </si>
  <si>
    <t xml:space="preserve">EJECUCION PRESUPUESTAL CONCEJO MUNICIPAL DE CALI  </t>
  </si>
  <si>
    <t xml:space="preserve">PRESUPUESTO INICIAL </t>
  </si>
  <si>
    <t xml:space="preserve">PRESUPUESTO EJECUTADO </t>
  </si>
  <si>
    <t xml:space="preserve">TOTAL TRASFERENCIA LEY 617 GASTOS DE FUNCIONAMIENTO </t>
  </si>
  <si>
    <t>TOTAL PRESUPUESTO VIGENCIA 2020</t>
  </si>
  <si>
    <t>PORCENTAJE DE EJECUCION</t>
  </si>
  <si>
    <t xml:space="preserve">PRESUPUESTO TOTAL </t>
  </si>
  <si>
    <t>PRESUPUESTO EJECUTADO</t>
  </si>
  <si>
    <t>PORCENTAJE EJECUCION</t>
  </si>
  <si>
    <t xml:space="preserve">Elaboro/proyecto: Dra Valeria Garcia Arias - Directora Administrativa </t>
  </si>
  <si>
    <t xml:space="preserve">ANALISIS: </t>
  </si>
  <si>
    <t>SEPTIEMBRE 30 DE 2020</t>
  </si>
  <si>
    <t>EL PRESUPUESTO DEL CONCEJO DE CALI,  A NOVIEMBRE 30 DE 2020 SE HA EJECUTADO EN UN 92,81% QUE COMPARADO CON EL COMPORTAMIENTO DEL 1,5% ICLD ES BUENO YA QUE SE HA PODIDO CUMPLIR CON LAS OBLIGACIONES LABORARES DEL PAGO DE LA NOMINA Y SEGURIDAD SOCIAL DEL PERSONAL DE PLANTA Y EL PAGO DE LOS CONTRATOS DE UNIDADES DE APOYO Y ADMINISTRATIVOS DEL CONCEJO DISTRITAL DE SANTIAGO DE CALI ASI COMO LOS GASTOS GENERALES.</t>
  </si>
  <si>
    <t>noviembre 30 DE 2020</t>
  </si>
  <si>
    <t>RESUMEN EJECUCION PRESUPUESTAL CONCEJO DE CALI A NOVIEMBRE 30 DE 2020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</si>
</sst>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 * #,##0.00_ ;_ * \-#,##0.00_ ;_ * &quot;-&quot;??_ ;_ @_ "/>
    <numFmt numFmtId="165" formatCode="#,##0_-;#,##0\-;&quot; &quot;"/>
    <numFmt numFmtId="166" formatCode="&quot;$&quot;#,##0"/>
    <numFmt numFmtId="167" formatCode="&quot;$&quot;#,##0.000"/>
    <numFmt numFmtId="168" formatCode="&quot;$&quot;#,##0.00"/>
    <numFmt numFmtId="169" formatCode="_ * #,##0_ ;_ * \-#,##0_ ;_ * &quot;-&quot;??_ ;_ @_ "/>
    <numFmt numFmtId="170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color rgb="FF0070C0"/>
      <name val="Arial"/>
      <family val="2"/>
    </font>
    <font>
      <sz val="11"/>
      <color rgb="FF0070C0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b/>
      <sz val="18"/>
      <color rgb="FF0070C0"/>
      <name val="Arial"/>
      <family val="2"/>
    </font>
    <font>
      <sz val="18"/>
      <color rgb="FF0070C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18" xfId="0" applyFont="1" applyBorder="1"/>
    <xf numFmtId="0" fontId="12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8" xfId="0" applyFont="1" applyBorder="1"/>
    <xf numFmtId="4" fontId="6" fillId="0" borderId="18" xfId="4" applyNumberFormat="1" applyFont="1" applyFill="1" applyBorder="1"/>
    <xf numFmtId="4" fontId="7" fillId="0" borderId="18" xfId="4" applyNumberFormat="1" applyFont="1" applyFill="1" applyBorder="1"/>
    <xf numFmtId="0" fontId="12" fillId="0" borderId="18" xfId="0" applyFont="1" applyBorder="1"/>
    <xf numFmtId="10" fontId="13" fillId="0" borderId="34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18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170" fontId="14" fillId="0" borderId="18" xfId="3" applyNumberFormat="1" applyFont="1" applyBorder="1" applyAlignment="1">
      <alignment horizontal="center"/>
    </xf>
    <xf numFmtId="10" fontId="15" fillId="0" borderId="16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/>
    <xf numFmtId="164" fontId="2" fillId="0" borderId="9" xfId="1" applyNumberFormat="1" applyFont="1" applyBorder="1" applyAlignment="1">
      <alignment horizontal="right"/>
    </xf>
    <xf numFmtId="164" fontId="3" fillId="0" borderId="16" xfId="1" applyNumberFormat="1" applyFont="1" applyFill="1" applyBorder="1"/>
    <xf numFmtId="164" fontId="2" fillId="0" borderId="16" xfId="1" applyNumberFormat="1" applyFont="1" applyFill="1" applyBorder="1"/>
    <xf numFmtId="49" fontId="4" fillId="2" borderId="19" xfId="2" applyNumberFormat="1" applyFont="1" applyFill="1" applyBorder="1" applyAlignment="1">
      <alignment horizontal="left"/>
    </xf>
    <xf numFmtId="164" fontId="5" fillId="0" borderId="0" xfId="1" applyNumberFormat="1" applyFont="1" applyAlignment="1">
      <alignment horizontal="justify"/>
    </xf>
    <xf numFmtId="169" fontId="2" fillId="0" borderId="0" xfId="1" applyNumberFormat="1" applyFont="1" applyFill="1"/>
    <xf numFmtId="164" fontId="2" fillId="0" borderId="0" xfId="1" applyNumberFormat="1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1" xfId="0" applyFont="1" applyFill="1" applyBorder="1"/>
    <xf numFmtId="3" fontId="3" fillId="0" borderId="12" xfId="0" applyNumberFormat="1" applyFont="1" applyFill="1" applyBorder="1"/>
    <xf numFmtId="4" fontId="3" fillId="0" borderId="12" xfId="0" applyNumberFormat="1" applyFont="1" applyFill="1" applyBorder="1"/>
    <xf numFmtId="3" fontId="3" fillId="0" borderId="13" xfId="0" applyNumberFormat="1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3" fontId="3" fillId="0" borderId="16" xfId="0" applyNumberFormat="1" applyFont="1" applyFill="1" applyBorder="1"/>
    <xf numFmtId="4" fontId="3" fillId="0" borderId="16" xfId="0" applyNumberFormat="1" applyFont="1" applyFill="1" applyBorder="1"/>
    <xf numFmtId="3" fontId="3" fillId="0" borderId="17" xfId="0" applyNumberFormat="1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3" fontId="2" fillId="0" borderId="16" xfId="0" applyNumberFormat="1" applyFont="1" applyFill="1" applyBorder="1"/>
    <xf numFmtId="4" fontId="2" fillId="0" borderId="16" xfId="0" applyNumberFormat="1" applyFont="1" applyFill="1" applyBorder="1"/>
    <xf numFmtId="3" fontId="2" fillId="0" borderId="18" xfId="0" applyNumberFormat="1" applyFont="1" applyFill="1" applyBorder="1"/>
    <xf numFmtId="4" fontId="2" fillId="0" borderId="18" xfId="0" applyNumberFormat="1" applyFont="1" applyFill="1" applyBorder="1"/>
    <xf numFmtId="3" fontId="2" fillId="0" borderId="17" xfId="0" applyNumberFormat="1" applyFont="1" applyFill="1" applyBorder="1"/>
    <xf numFmtId="3" fontId="0" fillId="0" borderId="19" xfId="0" applyNumberFormat="1" applyFill="1" applyBorder="1"/>
    <xf numFmtId="165" fontId="0" fillId="0" borderId="19" xfId="0" applyNumberFormat="1" applyFill="1" applyBorder="1"/>
    <xf numFmtId="4" fontId="0" fillId="0" borderId="0" xfId="0" applyNumberFormat="1" applyAlignment="1">
      <alignment horizontal="right"/>
    </xf>
    <xf numFmtId="3" fontId="0" fillId="0" borderId="18" xfId="0" applyNumberFormat="1" applyFill="1" applyBorder="1"/>
    <xf numFmtId="4" fontId="5" fillId="0" borderId="0" xfId="0" applyNumberFormat="1" applyFont="1" applyAlignment="1">
      <alignment horizontal="justify"/>
    </xf>
    <xf numFmtId="166" fontId="2" fillId="0" borderId="9" xfId="0" applyNumberFormat="1" applyFont="1" applyBorder="1" applyAlignment="1">
      <alignment horizontal="right"/>
    </xf>
    <xf numFmtId="0" fontId="0" fillId="0" borderId="15" xfId="0" applyFill="1" applyBorder="1"/>
    <xf numFmtId="3" fontId="5" fillId="0" borderId="0" xfId="0" applyNumberFormat="1" applyFont="1" applyAlignment="1">
      <alignment horizontal="justify"/>
    </xf>
    <xf numFmtId="167" fontId="2" fillId="0" borderId="9" xfId="0" applyNumberFormat="1" applyFont="1" applyBorder="1" applyAlignment="1">
      <alignment horizontal="right"/>
    </xf>
    <xf numFmtId="168" fontId="2" fillId="0" borderId="9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justify"/>
    </xf>
    <xf numFmtId="4" fontId="0" fillId="0" borderId="16" xfId="0" applyNumberFormat="1" applyFill="1" applyBorder="1"/>
    <xf numFmtId="1" fontId="2" fillId="0" borderId="14" xfId="0" applyNumberFormat="1" applyFont="1" applyFill="1" applyBorder="1"/>
    <xf numFmtId="1" fontId="3" fillId="0" borderId="14" xfId="0" applyNumberFormat="1" applyFont="1" applyFill="1" applyBorder="1"/>
    <xf numFmtId="3" fontId="18" fillId="0" borderId="0" xfId="0" applyNumberFormat="1" applyFont="1" applyAlignment="1">
      <alignment horizontal="justify"/>
    </xf>
    <xf numFmtId="4" fontId="2" fillId="0" borderId="0" xfId="0" applyNumberFormat="1" applyFont="1" applyAlignment="1">
      <alignment horizontal="justify"/>
    </xf>
    <xf numFmtId="4" fontId="0" fillId="0" borderId="18" xfId="0" applyNumberFormat="1" applyFill="1" applyBorder="1"/>
    <xf numFmtId="4" fontId="3" fillId="0" borderId="17" xfId="0" applyNumberFormat="1" applyFont="1" applyFill="1" applyBorder="1"/>
    <xf numFmtId="4" fontId="2" fillId="0" borderId="17" xfId="0" applyNumberFormat="1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4" fontId="2" fillId="0" borderId="22" xfId="0" applyNumberFormat="1" applyFont="1" applyFill="1" applyBorder="1"/>
    <xf numFmtId="3" fontId="2" fillId="0" borderId="23" xfId="0" applyNumberFormat="1" applyFont="1" applyFill="1" applyBorder="1"/>
    <xf numFmtId="4" fontId="2" fillId="0" borderId="23" xfId="0" applyNumberFormat="1" applyFont="1" applyFill="1" applyBorder="1"/>
    <xf numFmtId="0" fontId="3" fillId="0" borderId="24" xfId="0" applyFont="1" applyFill="1" applyBorder="1"/>
    <xf numFmtId="0" fontId="3" fillId="0" borderId="25" xfId="0" applyFont="1" applyFill="1" applyBorder="1"/>
    <xf numFmtId="3" fontId="3" fillId="0" borderId="26" xfId="0" applyNumberFormat="1" applyFont="1" applyFill="1" applyBorder="1"/>
    <xf numFmtId="4" fontId="3" fillId="0" borderId="26" xfId="0" applyNumberFormat="1" applyFont="1" applyFill="1" applyBorder="1"/>
    <xf numFmtId="3" fontId="3" fillId="0" borderId="27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/>
    <xf numFmtId="4" fontId="2" fillId="0" borderId="0" xfId="0" applyNumberFormat="1" applyFont="1" applyFill="1"/>
    <xf numFmtId="3" fontId="6" fillId="0" borderId="0" xfId="0" applyNumberFormat="1" applyFont="1" applyFill="1"/>
    <xf numFmtId="0" fontId="6" fillId="0" borderId="0" xfId="0" applyFont="1" applyFill="1"/>
    <xf numFmtId="4" fontId="17" fillId="0" borderId="0" xfId="0" applyNumberFormat="1" applyFont="1" applyFill="1"/>
    <xf numFmtId="43" fontId="2" fillId="0" borderId="0" xfId="0" applyNumberFormat="1" applyFont="1" applyFill="1"/>
    <xf numFmtId="0" fontId="7" fillId="0" borderId="22" xfId="0" applyFont="1" applyFill="1" applyBorder="1"/>
    <xf numFmtId="0" fontId="7" fillId="0" borderId="28" xfId="0" applyFont="1" applyFill="1" applyBorder="1"/>
    <xf numFmtId="0" fontId="7" fillId="0" borderId="29" xfId="0" applyFont="1" applyFill="1" applyBorder="1"/>
    <xf numFmtId="0" fontId="7" fillId="0" borderId="23" xfId="0" applyFont="1" applyFill="1" applyBorder="1"/>
    <xf numFmtId="4" fontId="6" fillId="0" borderId="23" xfId="0" applyNumberFormat="1" applyFont="1" applyFill="1" applyBorder="1"/>
    <xf numFmtId="4" fontId="7" fillId="0" borderId="29" xfId="0" applyNumberFormat="1" applyFont="1" applyFill="1" applyBorder="1"/>
    <xf numFmtId="0" fontId="7" fillId="0" borderId="30" xfId="0" applyFont="1" applyFill="1" applyBorder="1"/>
    <xf numFmtId="0" fontId="7" fillId="0" borderId="0" xfId="0" applyFont="1" applyFill="1" applyBorder="1"/>
    <xf numFmtId="0" fontId="7" fillId="0" borderId="31" xfId="0" applyFont="1" applyFill="1" applyBorder="1"/>
    <xf numFmtId="0" fontId="6" fillId="0" borderId="18" xfId="0" applyFont="1" applyFill="1" applyBorder="1" applyAlignment="1">
      <alignment horizontal="center"/>
    </xf>
    <xf numFmtId="4" fontId="6" fillId="0" borderId="18" xfId="0" applyNumberFormat="1" applyFont="1" applyFill="1" applyBorder="1"/>
    <xf numFmtId="4" fontId="3" fillId="0" borderId="23" xfId="0" applyNumberFormat="1" applyFont="1" applyFill="1" applyBorder="1" applyAlignment="1">
      <alignment horizontal="center"/>
    </xf>
    <xf numFmtId="0" fontId="8" fillId="0" borderId="30" xfId="0" applyFont="1" applyFill="1" applyBorder="1"/>
    <xf numFmtId="0" fontId="8" fillId="0" borderId="0" xfId="0" applyFont="1" applyFill="1" applyBorder="1"/>
    <xf numFmtId="0" fontId="8" fillId="0" borderId="31" xfId="0" applyFont="1" applyFill="1" applyBorder="1"/>
    <xf numFmtId="3" fontId="6" fillId="0" borderId="19" xfId="0" applyNumberFormat="1" applyFont="1" applyFill="1" applyBorder="1"/>
    <xf numFmtId="4" fontId="6" fillId="0" borderId="19" xfId="0" applyNumberFormat="1" applyFont="1" applyFill="1" applyBorder="1"/>
    <xf numFmtId="10" fontId="3" fillId="0" borderId="31" xfId="0" applyNumberFormat="1" applyFont="1" applyFill="1" applyBorder="1"/>
    <xf numFmtId="164" fontId="0" fillId="0" borderId="0" xfId="1" applyNumberFormat="1" applyFont="1" applyFill="1"/>
    <xf numFmtId="3" fontId="7" fillId="0" borderId="19" xfId="0" applyNumberFormat="1" applyFont="1" applyFill="1" applyBorder="1"/>
    <xf numFmtId="4" fontId="7" fillId="0" borderId="19" xfId="0" applyNumberFormat="1" applyFont="1" applyFill="1" applyBorder="1"/>
    <xf numFmtId="10" fontId="2" fillId="0" borderId="31" xfId="0" applyNumberFormat="1" applyFont="1" applyFill="1" applyBorder="1"/>
    <xf numFmtId="9" fontId="3" fillId="0" borderId="0" xfId="12" applyFont="1" applyFill="1"/>
    <xf numFmtId="0" fontId="6" fillId="0" borderId="30" xfId="0" applyFont="1" applyFill="1" applyBorder="1"/>
    <xf numFmtId="0" fontId="6" fillId="0" borderId="0" xfId="0" applyFont="1" applyFill="1" applyBorder="1"/>
    <xf numFmtId="0" fontId="6" fillId="0" borderId="31" xfId="0" applyFont="1" applyFill="1" applyBorder="1"/>
    <xf numFmtId="0" fontId="6" fillId="0" borderId="12" xfId="0" applyFont="1" applyFill="1" applyBorder="1"/>
    <xf numFmtId="0" fontId="6" fillId="0" borderId="32" xfId="0" applyFont="1" applyFill="1" applyBorder="1"/>
    <xf numFmtId="0" fontId="6" fillId="0" borderId="33" xfId="0" applyFont="1" applyFill="1" applyBorder="1"/>
    <xf numFmtId="3" fontId="6" fillId="0" borderId="34" xfId="0" applyNumberFormat="1" applyFont="1" applyFill="1" applyBorder="1"/>
    <xf numFmtId="4" fontId="6" fillId="0" borderId="34" xfId="0" applyNumberFormat="1" applyFont="1" applyFill="1" applyBorder="1"/>
    <xf numFmtId="3" fontId="6" fillId="0" borderId="33" xfId="0" applyNumberFormat="1" applyFont="1" applyFill="1" applyBorder="1"/>
    <xf numFmtId="10" fontId="3" fillId="0" borderId="34" xfId="0" applyNumberFormat="1" applyFont="1" applyFill="1" applyBorder="1" applyAlignment="1">
      <alignment horizontal="center"/>
    </xf>
    <xf numFmtId="4" fontId="7" fillId="0" borderId="30" xfId="0" applyNumberFormat="1" applyFont="1" applyFill="1" applyBorder="1"/>
  </cellXfs>
  <cellStyles count="13">
    <cellStyle name="Millares" xfId="3" builtinId="3"/>
    <cellStyle name="Millares 2" xfId="1"/>
    <cellStyle name="Millares 3" xfId="6"/>
    <cellStyle name="Normal" xfId="0" builtinId="0"/>
    <cellStyle name="Normal 2" xfId="7"/>
    <cellStyle name="Normal 2 2" xfId="2"/>
    <cellStyle name="Normal 3" xfId="8"/>
    <cellStyle name="Normal 4" xfId="4"/>
    <cellStyle name="Normal 4 2" xfId="9"/>
    <cellStyle name="Normal 5" xfId="5"/>
    <cellStyle name="Porcentual" xfId="12" builtinId="5"/>
    <cellStyle name="Porcentual 2" xfId="11"/>
    <cellStyle name="Porcentual 3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</a:t>
            </a:r>
          </a:p>
        </c:rich>
      </c:tx>
      <c:layout/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'[2]ABRIL 2019'!$B$1:$B$2</c:f>
              <c:strCache>
                <c:ptCount val="1"/>
                <c:pt idx="0">
                  <c:v>PRESUPUESTO INICIAL </c:v>
                </c:pt>
              </c:strCache>
            </c:strRef>
          </c:tx>
          <c:explosion val="1"/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17,531.249.265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2.088.653.280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19,619,902.545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extLst>
              <c:ext xmlns:c15="http://schemas.microsoft.com/office/drawing/2012/chart" uri="{CE6537A1-D6FC-4f65-9D91-7224C49458BB}"/>
            </c:extLst>
          </c:dLbls>
          <c:cat>
            <c:strRef>
              <c:f>'[2]ABRIL 2019'!$A$3:$A$5</c:f>
              <c:strCache>
                <c:ptCount val="3"/>
                <c:pt idx="0">
                  <c:v>TOTAL TRASFERENCIA LEY 617 GASTOS DE FUNCIONAMIENTO </c:v>
                </c:pt>
                <c:pt idx="1">
                  <c:v>HONORARIOS CONCEJALES </c:v>
                </c:pt>
                <c:pt idx="2">
                  <c:v>TOTAL PRESUPUESTO VIGENCIA 2019 </c:v>
                </c:pt>
              </c:strCache>
            </c:strRef>
          </c:cat>
          <c:val>
            <c:numRef>
              <c:f>'[2]ABRIL 2019'!$B$3:$B$5</c:f>
              <c:numCache>
                <c:formatCode>General</c:formatCode>
                <c:ptCount val="3"/>
                <c:pt idx="0">
                  <c:v>17531249265</c:v>
                </c:pt>
                <c:pt idx="1">
                  <c:v>2088653280</c:v>
                </c:pt>
                <c:pt idx="2">
                  <c:v>19619902545</c:v>
                </c:pt>
              </c:numCache>
            </c:numRef>
          </c:val>
        </c:ser>
        <c:ser>
          <c:idx val="1"/>
          <c:order val="1"/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val>
            <c:numRef>
              <c:f>'[2]ABRIL 2019'!$B$3:$B$5</c:f>
              <c:numCache>
                <c:formatCode>General</c:formatCode>
                <c:ptCount val="3"/>
                <c:pt idx="0">
                  <c:v>17531249265</c:v>
                </c:pt>
                <c:pt idx="1">
                  <c:v>2088653280</c:v>
                </c:pt>
                <c:pt idx="2">
                  <c:v>19619902545</c:v>
                </c:pt>
              </c:numCache>
            </c:numRef>
          </c:val>
        </c:ser>
      </c:pie3D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4803149606299368" l="0.70866141732283638" r="0.70866141732283638" t="0.74803149606299368" header="0.31496062992126123" footer="0.31496062992126123"/>
    <c:pageSetup paperSize="5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RESUMEN EJECUCION PRESUPUESTAL A NOVIEMBRE  30 DE 2020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CONCEJO MUNICIPAL DE CALI </a:t>
            </a:r>
            <a:endParaRPr lang="es-CO" b="1"/>
          </a:p>
        </c:rich>
      </c:tx>
      <c:layout>
        <c:manualLayout>
          <c:xMode val="edge"/>
          <c:yMode val="edge"/>
          <c:x val="0.12211989501312336"/>
          <c:y val="3.2032032032032032E-2"/>
        </c:manualLayout>
      </c:layout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15.837.607.558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1.708.409.428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17.546.016.986</a:t>
                    </a:r>
                  </a:p>
                </c:rich>
              </c:tx>
              <c:showVal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'[3]ABRIL 2019'!$A$48:$A$50</c:f>
              <c:strCache>
                <c:ptCount val="3"/>
                <c:pt idx="0">
                  <c:v>TOTAL EJECUTADO TRASFERENCIA LEY 617 GASTOS DE FUNCIONAMIENTO </c:v>
                </c:pt>
                <c:pt idx="1">
                  <c:v>EJECUTADO HONORARIOS CONCEJALES </c:v>
                </c:pt>
                <c:pt idx="2">
                  <c:v>TOTAL PRESUPUESTO EJECUTADO </c:v>
                </c:pt>
              </c:strCache>
            </c:strRef>
          </c:cat>
          <c:val>
            <c:numRef>
              <c:f>'[3]ABRIL 2019'!$B$48:$B$50</c:f>
              <c:numCache>
                <c:formatCode>General</c:formatCode>
                <c:ptCount val="3"/>
                <c:pt idx="0">
                  <c:v>12782052296</c:v>
                </c:pt>
                <c:pt idx="1">
                  <c:v>1218668836</c:v>
                </c:pt>
                <c:pt idx="2">
                  <c:v>14000721132</c:v>
                </c:pt>
              </c:numCache>
            </c:numRef>
          </c:val>
        </c:ser>
      </c:pie3D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PORCENTAJE</a:t>
            </a:r>
            <a:r>
              <a:rPr lang="es-CO" baseline="0"/>
              <a:t>  DE EJECUCION PRESUPUESTO CONCEJO MUNICIPAL DE CALI A NOVIEMBRE  30 DE 2020</a:t>
            </a:r>
            <a:endParaRPr lang="es-CO"/>
          </a:p>
        </c:rich>
      </c:tx>
      <c:layout/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19.619.902.545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17.546.016.986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92,81</a:t>
                    </a:r>
                  </a:p>
                </c:rich>
              </c:tx>
              <c:showVal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'[3]ABRIL 2019'!$A$25:$A$27</c:f>
              <c:strCache>
                <c:ptCount val="3"/>
                <c:pt idx="0">
                  <c:v>PRESUPUESTO TOTAL</c:v>
                </c:pt>
                <c:pt idx="1">
                  <c:v>PRESUPUESTO EJECUTADO</c:v>
                </c:pt>
              </c:strCache>
            </c:strRef>
          </c:cat>
          <c:val>
            <c:numRef>
              <c:f>'[3]ABRIL 2019'!$B$25:$B$27</c:f>
              <c:numCache>
                <c:formatCode>General</c:formatCode>
                <c:ptCount val="3"/>
                <c:pt idx="0">
                  <c:v>17531249265</c:v>
                </c:pt>
                <c:pt idx="1">
                  <c:v>14000721132</c:v>
                </c:pt>
                <c:pt idx="2">
                  <c:v>0.71650320834965187</c:v>
                </c:pt>
              </c:numCache>
            </c:numRef>
          </c:val>
        </c:ser>
      </c:pie3D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4162425</xdr:colOff>
      <xdr:row>35</xdr:row>
      <xdr:rowOff>142875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4791075</xdr:colOff>
      <xdr:row>20</xdr:row>
      <xdr:rowOff>104774</xdr:rowOff>
    </xdr:from>
    <xdr:to>
      <xdr:col>2</xdr:col>
      <xdr:colOff>1257300</xdr:colOff>
      <xdr:row>37</xdr:row>
      <xdr:rowOff>38099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1695449</xdr:colOff>
      <xdr:row>20</xdr:row>
      <xdr:rowOff>123825</xdr:rowOff>
    </xdr:from>
    <xdr:to>
      <xdr:col>6</xdr:col>
      <xdr:colOff>666750</xdr:colOff>
      <xdr:row>37</xdr:row>
      <xdr:rowOff>66674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0.08696</cdr:x>
      <cdr:y>0.08333</cdr:y>
    </cdr:from>
    <cdr:to>
      <cdr:x>0.7849</cdr:x>
      <cdr:y>0.17949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1950" y="247650"/>
          <a:ext cx="2905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0.02288</cdr:x>
      <cdr:y>0.02885</cdr:y>
    </cdr:from>
    <cdr:to>
      <cdr:x>0.84897</cdr:x>
      <cdr:y>0.22115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95250" y="85726"/>
          <a:ext cx="3438525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CO" sz="1400"/>
            <a:t>PRESUPUESTO</a:t>
          </a:r>
          <a:r>
            <a:rPr lang="es-CO" sz="1400" baseline="0"/>
            <a:t> INICIAL CONCEJO MUNICIPAL DE CALI </a:t>
          </a:r>
          <a:endParaRPr lang="es-CO" sz="14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EJECUCION%20PRESUPUESTAL%20A&#209;O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RENDICION%20DE%20CUENTAS%20CONCEJO%20MUNICIIPAL%20ABRIL%20MAYO%20DE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NDICION%20DE%20CUENTAS%20CONCEJO%20MUNICIIPAL%20ABRIL%20MAYO%20DE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AL%20A&#209;O%20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es%20sap/ejecuciones%20sap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ATALIA/concejo%20municipal/vigencia%202017/vigencia%202017/pto%202017/pto%202017/ejecuciones%20sap%202015/ejecucion%20sap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20"/>
      <sheetName val="febrero 2020"/>
      <sheetName val="FEBRERO 20201"/>
      <sheetName val="marzo2020"/>
      <sheetName val="abril 2020"/>
      <sheetName val="mayo de 2020 "/>
      <sheetName val="junio de 2020"/>
      <sheetName val="juliode2019"/>
      <sheetName val="Gráfico1"/>
      <sheetName val="agosto2019"/>
      <sheetName val="septiembre2019"/>
      <sheetName val="octubre2019"/>
      <sheetName val="noviembre de 2019 "/>
      <sheetName val="diciembre2019"/>
      <sheetName val="ACUMULADO A JULIO DE  2017"/>
      <sheetName val="JULIO"/>
      <sheetName val="acumulado AGOSTO 2017"/>
      <sheetName val="AGOSTODEF"/>
      <sheetName val="ACUMULADA A SEPTIEMBRE DE 2017"/>
      <sheetName val="septiembre"/>
      <sheetName val=" acumulado a octubre 2017"/>
      <sheetName val="ACUMULADA A OCTIBRE2016"/>
      <sheetName val="ACUMULADO A NOVIEMBRE 30 2017"/>
      <sheetName val="OCTUBRE"/>
      <sheetName val="acumulado diciembre 2017"/>
      <sheetName val="noviembre 2016"/>
      <sheetName val="acumulado a noviembre 30 "/>
      <sheetName val="diciembre"/>
      <sheetName val="acumulado A DICIEMBRE DE 2015"/>
      <sheetName val="3"/>
      <sheetName val="4"/>
      <sheetName val="5"/>
      <sheetName val="6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>
        <row r="95">
          <cell r="F95">
            <v>17531249265</v>
          </cell>
        </row>
        <row r="96">
          <cell r="F96">
            <v>2088653280</v>
          </cell>
        </row>
      </sheetData>
      <sheetData sheetId="6">
        <row r="95">
          <cell r="G95">
            <v>9919939015</v>
          </cell>
        </row>
      </sheetData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CIA 2016"/>
      <sheetName val="VIGENCIA2017"/>
      <sheetName val="VIGENCIA2018"/>
      <sheetName val="FEBRERO 2019"/>
      <sheetName val="ABRIL 2019"/>
      <sheetName val="Hoja1"/>
      <sheetName val="Hoja2"/>
      <sheetName val="Hoja3"/>
      <sheetName val="ABRIL2020"/>
    </sheetNames>
    <sheetDataSet>
      <sheetData sheetId="0"/>
      <sheetData sheetId="1"/>
      <sheetData sheetId="2"/>
      <sheetData sheetId="3"/>
      <sheetData sheetId="4">
        <row r="2">
          <cell r="B2" t="str">
            <v xml:space="preserve">PRESUPUESTO INICIAL </v>
          </cell>
        </row>
        <row r="3">
          <cell r="A3" t="str">
            <v xml:space="preserve">TOTAL TRASFERENCIA LEY 617 GASTOS DE FUNCIONAMIENTO </v>
          </cell>
          <cell r="B3">
            <v>17531249265</v>
          </cell>
        </row>
        <row r="4">
          <cell r="A4" t="str">
            <v xml:space="preserve">HONORARIOS CONCEJALES </v>
          </cell>
          <cell r="B4">
            <v>2088653280</v>
          </cell>
        </row>
        <row r="5">
          <cell r="A5" t="str">
            <v xml:space="preserve">TOTAL PRESUPUESTO VIGENCIA 2019 </v>
          </cell>
          <cell r="B5">
            <v>19619902545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GENCIA 2016"/>
      <sheetName val="VIGENCIA2017"/>
      <sheetName val="VIGENCIA2018"/>
      <sheetName val="FEBRERO 2019"/>
      <sheetName val="ABRIL 2019"/>
      <sheetName val="Hoja1"/>
      <sheetName val="Hoja2"/>
      <sheetName val="Hoja3"/>
      <sheetName val="ABRIL2020"/>
    </sheetNames>
    <sheetDataSet>
      <sheetData sheetId="0"/>
      <sheetData sheetId="1"/>
      <sheetData sheetId="2"/>
      <sheetData sheetId="3"/>
      <sheetData sheetId="4">
        <row r="25">
          <cell r="A25" t="str">
            <v>PRESUPUESTO TOTAL</v>
          </cell>
          <cell r="B25">
            <v>17531249265</v>
          </cell>
        </row>
        <row r="26">
          <cell r="A26" t="str">
            <v>PRESUPUESTO EJECUTADO</v>
          </cell>
          <cell r="B26">
            <v>14000721132</v>
          </cell>
        </row>
        <row r="27">
          <cell r="B27">
            <v>0.71650320834965187</v>
          </cell>
        </row>
        <row r="48">
          <cell r="A48" t="str">
            <v xml:space="preserve">TOTAL EJECUTADO TRASFERENCIA LEY 617 GASTOS DE FUNCIONAMIENTO </v>
          </cell>
          <cell r="B48">
            <v>12782052296</v>
          </cell>
        </row>
        <row r="49">
          <cell r="A49" t="str">
            <v xml:space="preserve">EJECUTADO HONORARIOS CONCEJALES </v>
          </cell>
          <cell r="B49">
            <v>1218668836</v>
          </cell>
        </row>
        <row r="50">
          <cell r="A50" t="str">
            <v xml:space="preserve">TOTAL PRESUPUESTO EJECUTADO </v>
          </cell>
          <cell r="B50">
            <v>14000721132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20"/>
      <sheetName val="febrero 2020"/>
      <sheetName val="FEBRERO 20201"/>
      <sheetName val="marzo2020"/>
      <sheetName val="abril 2020"/>
      <sheetName val="mayo de 2020 "/>
      <sheetName val="junio de 2020"/>
      <sheetName val="juliode2020"/>
      <sheetName val="Gráfico1"/>
      <sheetName val="agosto2020"/>
      <sheetName val="septiembre2020"/>
      <sheetName val="octubre2020"/>
      <sheetName val="noviembre de 2020"/>
      <sheetName val="diciembre2019"/>
      <sheetName val="ACUMULADO A JULIO DE  2017"/>
      <sheetName val="JULIO"/>
      <sheetName val="acumulado AGOSTO 2017"/>
      <sheetName val="AGOSTODEF"/>
      <sheetName val="ACUMULADA A SEPTIEMBRE DE 2017"/>
      <sheetName val="septiembre"/>
      <sheetName val=" acumulado a octubre 2017"/>
      <sheetName val="ACUMULADA A OCTIBRE2016"/>
      <sheetName val="ACUMULADO A NOVIEMBRE 30 2017"/>
      <sheetName val="OCTUBRE"/>
      <sheetName val="acumulado diciembre 2017"/>
      <sheetName val="noviembre 2016"/>
      <sheetName val="acumulado a noviembre 30 "/>
      <sheetName val="diciembre"/>
      <sheetName val="acumulado A DICIEMBRE DE 2015"/>
      <sheetName val="3"/>
      <sheetName val="4"/>
      <sheetName val="5"/>
      <sheetName val="6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9"/>
      <sheetData sheetId="10">
        <row r="76">
          <cell r="C76">
            <v>4000000</v>
          </cell>
        </row>
      </sheetData>
      <sheetData sheetId="11"/>
      <sheetData sheetId="12">
        <row r="95">
          <cell r="G95">
            <v>15837607558</v>
          </cell>
        </row>
        <row r="96">
          <cell r="G96">
            <v>1708409428</v>
          </cell>
        </row>
        <row r="97">
          <cell r="I97">
            <v>0.92805601976041818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inicial "/>
      <sheetName val="enero2020"/>
      <sheetName val="febrero2020"/>
      <sheetName val="Hoja1"/>
      <sheetName val="marzo2020"/>
      <sheetName val="inforabril2020"/>
      <sheetName val="mayo2020"/>
      <sheetName val="junio 2020"/>
      <sheetName val="Hoja2"/>
      <sheetName val="julio 2020"/>
      <sheetName val="agosto2020"/>
      <sheetName val="agosto2020definitivo"/>
      <sheetName val="septiembre "/>
      <sheetName val="septiembre2020"/>
      <sheetName val="octubre2020"/>
      <sheetName val="noviembre 19"/>
      <sheetName val="noviembre2020"/>
    </sheetNames>
    <sheetDataSet>
      <sheetData sheetId="0"/>
      <sheetData sheetId="1">
        <row r="8">
          <cell r="C8">
            <v>4956446366</v>
          </cell>
        </row>
        <row r="9">
          <cell r="C9">
            <v>156800000</v>
          </cell>
        </row>
        <row r="10">
          <cell r="C10">
            <v>31900000</v>
          </cell>
        </row>
        <row r="11">
          <cell r="C11">
            <v>387200000</v>
          </cell>
        </row>
        <row r="12">
          <cell r="C12">
            <v>54000000</v>
          </cell>
        </row>
        <row r="13">
          <cell r="C13">
            <v>63000000</v>
          </cell>
        </row>
        <row r="14">
          <cell r="C14">
            <v>33000000</v>
          </cell>
        </row>
        <row r="15">
          <cell r="C15">
            <v>504900000</v>
          </cell>
        </row>
        <row r="16">
          <cell r="C16">
            <v>243100000</v>
          </cell>
        </row>
        <row r="17">
          <cell r="C17">
            <v>253000000</v>
          </cell>
        </row>
        <row r="18">
          <cell r="C18">
            <v>33000000</v>
          </cell>
        </row>
        <row r="19">
          <cell r="C19">
            <v>4070000</v>
          </cell>
        </row>
        <row r="20">
          <cell r="C20">
            <v>20000000</v>
          </cell>
        </row>
        <row r="22">
          <cell r="C22">
            <v>4200000000</v>
          </cell>
        </row>
        <row r="23">
          <cell r="C23">
            <v>3100000000</v>
          </cell>
        </row>
        <row r="24">
          <cell r="C24">
            <v>346500000</v>
          </cell>
        </row>
        <row r="25">
          <cell r="C25">
            <v>44000000</v>
          </cell>
        </row>
        <row r="26">
          <cell r="C26">
            <v>45320000</v>
          </cell>
        </row>
        <row r="27">
          <cell r="C27">
            <v>183700000</v>
          </cell>
        </row>
        <row r="28">
          <cell r="C28">
            <v>33252478</v>
          </cell>
        </row>
        <row r="29">
          <cell r="C29">
            <v>62700000</v>
          </cell>
        </row>
        <row r="30">
          <cell r="C30">
            <v>460000000</v>
          </cell>
        </row>
        <row r="31">
          <cell r="C31">
            <v>402668644</v>
          </cell>
        </row>
        <row r="32">
          <cell r="C32">
            <v>517000000</v>
          </cell>
        </row>
        <row r="33">
          <cell r="C33">
            <v>245300000</v>
          </cell>
        </row>
        <row r="34">
          <cell r="C34">
            <v>30000000</v>
          </cell>
        </row>
        <row r="35">
          <cell r="C35">
            <v>50000000</v>
          </cell>
        </row>
        <row r="36">
          <cell r="C36">
            <v>15128762</v>
          </cell>
        </row>
        <row r="37">
          <cell r="C37">
            <v>100000000</v>
          </cell>
        </row>
        <row r="38">
          <cell r="C38">
            <v>28000000</v>
          </cell>
        </row>
        <row r="39">
          <cell r="C39">
            <v>6000000</v>
          </cell>
        </row>
        <row r="40">
          <cell r="C40">
            <v>70000000</v>
          </cell>
        </row>
        <row r="41">
          <cell r="C41">
            <v>35000000</v>
          </cell>
        </row>
        <row r="42">
          <cell r="C42">
            <v>15131355</v>
          </cell>
        </row>
        <row r="43">
          <cell r="C43">
            <v>90000000</v>
          </cell>
        </row>
        <row r="44">
          <cell r="C44">
            <v>100000000</v>
          </cell>
        </row>
        <row r="45">
          <cell r="C45">
            <v>470000000</v>
          </cell>
        </row>
        <row r="46">
          <cell r="C46">
            <v>100000000</v>
          </cell>
        </row>
        <row r="47">
          <cell r="C47">
            <v>11000000</v>
          </cell>
        </row>
        <row r="48">
          <cell r="C48">
            <v>11000000</v>
          </cell>
        </row>
        <row r="49">
          <cell r="C49">
            <v>15131660</v>
          </cell>
        </row>
        <row r="50">
          <cell r="C50">
            <v>4000000</v>
          </cell>
        </row>
        <row r="51">
          <cell r="C51">
            <v>2088653280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H40">
            <v>0</v>
          </cell>
        </row>
        <row r="41">
          <cell r="I41">
            <v>18302199</v>
          </cell>
          <cell r="J41">
            <v>82457801</v>
          </cell>
        </row>
      </sheetData>
      <sheetData sheetId="14"/>
      <sheetData sheetId="15"/>
      <sheetData sheetId="16">
        <row r="3">
          <cell r="D3">
            <v>632518678</v>
          </cell>
          <cell r="E3">
            <v>29833000</v>
          </cell>
          <cell r="H3">
            <v>1051358468</v>
          </cell>
          <cell r="I3">
            <v>860306323</v>
          </cell>
          <cell r="J3">
            <v>15634352195</v>
          </cell>
          <cell r="L3">
            <v>1411533881</v>
          </cell>
        </row>
        <row r="4">
          <cell r="K4">
            <v>17546016986</v>
          </cell>
        </row>
        <row r="8">
          <cell r="I8">
            <v>86409020</v>
          </cell>
          <cell r="J8">
            <v>4032936836</v>
          </cell>
        </row>
        <row r="9">
          <cell r="D9">
            <v>251195</v>
          </cell>
          <cell r="I9">
            <v>2479848</v>
          </cell>
          <cell r="J9">
            <v>135192317</v>
          </cell>
        </row>
        <row r="10">
          <cell r="D10">
            <v>47847</v>
          </cell>
          <cell r="I10">
            <v>447303</v>
          </cell>
          <cell r="J10">
            <v>24704537</v>
          </cell>
        </row>
        <row r="11">
          <cell r="D11">
            <v>532743</v>
          </cell>
          <cell r="I11">
            <v>5012616</v>
          </cell>
          <cell r="J11">
            <v>276549276</v>
          </cell>
        </row>
        <row r="12">
          <cell r="D12">
            <v>193</v>
          </cell>
          <cell r="J12">
            <v>52175233</v>
          </cell>
        </row>
        <row r="13">
          <cell r="D13">
            <v>64342</v>
          </cell>
          <cell r="J13">
            <v>7820430</v>
          </cell>
        </row>
        <row r="14">
          <cell r="J14">
            <v>20091593</v>
          </cell>
        </row>
        <row r="15">
          <cell r="I15">
            <v>-2</v>
          </cell>
          <cell r="J15">
            <v>436538664</v>
          </cell>
        </row>
        <row r="16">
          <cell r="D16">
            <v>569675</v>
          </cell>
          <cell r="I16">
            <v>2362983</v>
          </cell>
          <cell r="J16">
            <v>202499278</v>
          </cell>
        </row>
        <row r="17">
          <cell r="D17">
            <v>380531</v>
          </cell>
          <cell r="I17">
            <v>3580506</v>
          </cell>
          <cell r="J17">
            <v>197541769</v>
          </cell>
        </row>
        <row r="18">
          <cell r="I18">
            <v>443694</v>
          </cell>
          <cell r="J18">
            <v>20930372</v>
          </cell>
        </row>
        <row r="19">
          <cell r="I19">
            <v>37716</v>
          </cell>
          <cell r="J19">
            <v>1628518</v>
          </cell>
        </row>
        <row r="20">
          <cell r="I20">
            <v>6003744</v>
          </cell>
          <cell r="J20">
            <v>7283946</v>
          </cell>
        </row>
        <row r="22">
          <cell r="D22">
            <v>18400000</v>
          </cell>
          <cell r="E22">
            <v>26754000</v>
          </cell>
          <cell r="H22">
            <v>510568685</v>
          </cell>
          <cell r="I22">
            <v>298068620</v>
          </cell>
          <cell r="J22">
            <v>3597395749</v>
          </cell>
        </row>
        <row r="23">
          <cell r="D23">
            <v>5210232</v>
          </cell>
          <cell r="E23">
            <v>3079000</v>
          </cell>
          <cell r="H23">
            <v>433721060</v>
          </cell>
          <cell r="I23">
            <v>247158144</v>
          </cell>
          <cell r="J23">
            <v>2810101373</v>
          </cell>
        </row>
        <row r="24">
          <cell r="I24">
            <v>25289030</v>
          </cell>
          <cell r="J24">
            <v>260193634</v>
          </cell>
        </row>
        <row r="25">
          <cell r="I25">
            <v>2989580</v>
          </cell>
          <cell r="J25">
            <v>29972320</v>
          </cell>
        </row>
        <row r="26">
          <cell r="I26">
            <v>2004199</v>
          </cell>
          <cell r="J26">
            <v>22221101</v>
          </cell>
        </row>
        <row r="27">
          <cell r="I27">
            <v>11992700</v>
          </cell>
          <cell r="J27">
            <v>132991500</v>
          </cell>
        </row>
        <row r="28">
          <cell r="I28">
            <v>2004199</v>
          </cell>
          <cell r="J28">
            <v>22221101</v>
          </cell>
        </row>
        <row r="29">
          <cell r="I29">
            <v>4003209</v>
          </cell>
          <cell r="J29">
            <v>44384491</v>
          </cell>
        </row>
        <row r="30">
          <cell r="I30">
            <v>0</v>
          </cell>
          <cell r="J30">
            <v>433071057</v>
          </cell>
        </row>
        <row r="31">
          <cell r="I31">
            <v>22882391</v>
          </cell>
          <cell r="J31">
            <v>230896541</v>
          </cell>
        </row>
        <row r="32">
          <cell r="I32">
            <v>34121641</v>
          </cell>
          <cell r="J32">
            <v>348040366</v>
          </cell>
        </row>
        <row r="33">
          <cell r="I33">
            <v>15987997</v>
          </cell>
          <cell r="J33">
            <v>177304803</v>
          </cell>
        </row>
        <row r="34">
          <cell r="D34">
            <v>24578484</v>
          </cell>
          <cell r="I34">
            <v>0</v>
          </cell>
        </row>
        <row r="35">
          <cell r="D35">
            <v>395931810</v>
          </cell>
        </row>
        <row r="36">
          <cell r="H36">
            <v>1685099</v>
          </cell>
          <cell r="J36">
            <v>8010102</v>
          </cell>
        </row>
        <row r="37">
          <cell r="I37">
            <v>0</v>
          </cell>
        </row>
        <row r="38">
          <cell r="J38">
            <v>1727336</v>
          </cell>
        </row>
        <row r="39">
          <cell r="F39">
            <v>0</v>
          </cell>
          <cell r="L39">
            <v>1000000</v>
          </cell>
        </row>
        <row r="41">
          <cell r="D41">
            <v>540000</v>
          </cell>
          <cell r="J41">
            <v>100760000</v>
          </cell>
        </row>
        <row r="42">
          <cell r="H42">
            <v>2306401</v>
          </cell>
          <cell r="J42">
            <v>3001007</v>
          </cell>
        </row>
        <row r="43">
          <cell r="D43">
            <v>161373520</v>
          </cell>
          <cell r="I43">
            <v>13000000</v>
          </cell>
          <cell r="J43">
            <v>28565600</v>
          </cell>
        </row>
        <row r="44">
          <cell r="D44">
            <v>24578105</v>
          </cell>
          <cell r="G44">
            <v>0</v>
          </cell>
        </row>
        <row r="45">
          <cell r="D45">
            <v>1</v>
          </cell>
          <cell r="H45">
            <v>102728143</v>
          </cell>
          <cell r="I45">
            <v>30000000</v>
          </cell>
          <cell r="J45">
            <v>302387902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349080</v>
          </cell>
          <cell r="J49">
            <v>831200</v>
          </cell>
        </row>
        <row r="50">
          <cell r="H50">
            <v>0</v>
          </cell>
        </row>
        <row r="51">
          <cell r="I51">
            <v>44027185</v>
          </cell>
          <cell r="J51">
            <v>1664382243</v>
          </cell>
        </row>
        <row r="53">
          <cell r="D53">
            <v>60000</v>
          </cell>
          <cell r="I53">
            <v>44027185</v>
          </cell>
          <cell r="J53">
            <v>1664382243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"/>
      <sheetName val="MARZO "/>
      <sheetName val="febrero "/>
      <sheetName val="mayo"/>
      <sheetName val="abril "/>
      <sheetName val="junio"/>
      <sheetName val="julio "/>
      <sheetName val="agosto"/>
      <sheetName val="SEPTIEMBRE "/>
      <sheetName val="OCTUBRE"/>
      <sheetName val="NOVIEMBRE"/>
      <sheetName val="diciembre "/>
      <sheetName val="Hoja1"/>
      <sheetName val="Hoja2"/>
    </sheetNames>
    <sheetDataSet>
      <sheetData sheetId="0" refreshError="1">
        <row r="45">
          <cell r="G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7:K125"/>
  <sheetViews>
    <sheetView tabSelected="1" topLeftCell="F106" workbookViewId="0">
      <selection activeCell="I124" sqref="I124"/>
    </sheetView>
  </sheetViews>
  <sheetFormatPr baseColWidth="10" defaultColWidth="35.5703125" defaultRowHeight="12.75"/>
  <cols>
    <col min="1" max="1" width="52" style="1" customWidth="1"/>
    <col min="2" max="2" width="58.42578125" style="1" customWidth="1"/>
    <col min="3" max="16384" width="35.5703125" style="1"/>
  </cols>
  <sheetData>
    <row r="27" spans="1:11" ht="13.5" thickBot="1"/>
    <row r="28" spans="1:11">
      <c r="A28" s="28"/>
      <c r="B28" s="29"/>
      <c r="C28" s="28"/>
      <c r="D28" s="28"/>
      <c r="E28" s="28"/>
      <c r="F28" s="28"/>
      <c r="G28" s="28"/>
      <c r="H28" s="29"/>
      <c r="I28" s="29"/>
      <c r="J28" s="28"/>
      <c r="K28" s="30" t="s">
        <v>0</v>
      </c>
    </row>
    <row r="29" spans="1:11">
      <c r="A29" s="31"/>
      <c r="B29" s="32"/>
      <c r="C29" s="33" t="s">
        <v>1</v>
      </c>
      <c r="D29" s="33" t="s">
        <v>2</v>
      </c>
      <c r="E29" s="33" t="s">
        <v>3</v>
      </c>
      <c r="F29" s="33" t="s">
        <v>1</v>
      </c>
      <c r="G29" s="34" t="s">
        <v>4</v>
      </c>
      <c r="H29" s="35" t="s">
        <v>5</v>
      </c>
      <c r="I29" s="35" t="s">
        <v>6</v>
      </c>
      <c r="J29" s="33"/>
      <c r="K29" s="36" t="s">
        <v>7</v>
      </c>
    </row>
    <row r="30" spans="1:11" ht="13.5" thickBot="1">
      <c r="A30" s="37" t="s">
        <v>8</v>
      </c>
      <c r="B30" s="38" t="s">
        <v>9</v>
      </c>
      <c r="C30" s="39" t="s">
        <v>10</v>
      </c>
      <c r="D30" s="39"/>
      <c r="E30" s="39"/>
      <c r="F30" s="39" t="s">
        <v>11</v>
      </c>
      <c r="G30" s="40" t="s">
        <v>12</v>
      </c>
      <c r="H30" s="41" t="s">
        <v>13</v>
      </c>
      <c r="I30" s="41"/>
      <c r="J30" s="39" t="s">
        <v>14</v>
      </c>
      <c r="K30" s="42" t="s">
        <v>112</v>
      </c>
    </row>
    <row r="31" spans="1:11">
      <c r="A31" s="43">
        <v>2</v>
      </c>
      <c r="B31" s="44" t="s">
        <v>15</v>
      </c>
      <c r="C31" s="45">
        <f t="shared" ref="C31:K31" si="0">+C32</f>
        <v>19623902545</v>
      </c>
      <c r="D31" s="46">
        <f t="shared" si="0"/>
        <v>1852047624</v>
      </c>
      <c r="E31" s="46">
        <f t="shared" si="0"/>
        <v>1852047624</v>
      </c>
      <c r="F31" s="46">
        <f>+F32</f>
        <v>19623902545</v>
      </c>
      <c r="G31" s="45">
        <f>+G32</f>
        <v>18208368664</v>
      </c>
      <c r="H31" s="46">
        <f t="shared" si="0"/>
        <v>17546016986</v>
      </c>
      <c r="I31" s="46">
        <f t="shared" si="0"/>
        <v>16494658518</v>
      </c>
      <c r="J31" s="46">
        <f t="shared" si="0"/>
        <v>15634352195</v>
      </c>
      <c r="K31" s="47">
        <f t="shared" si="0"/>
        <v>1415533881</v>
      </c>
    </row>
    <row r="32" spans="1:11">
      <c r="A32" s="48">
        <v>21</v>
      </c>
      <c r="B32" s="49" t="s">
        <v>16</v>
      </c>
      <c r="C32" s="50">
        <f t="shared" ref="C32:K32" si="1">+C33+C78</f>
        <v>19623902545</v>
      </c>
      <c r="D32" s="51">
        <f t="shared" si="1"/>
        <v>1852047624</v>
      </c>
      <c r="E32" s="51">
        <f t="shared" si="1"/>
        <v>1852047624</v>
      </c>
      <c r="F32" s="51">
        <f>+F33+F78</f>
        <v>19623902545</v>
      </c>
      <c r="G32" s="50">
        <f>+G33+G78</f>
        <v>18208368664</v>
      </c>
      <c r="H32" s="51">
        <f t="shared" si="1"/>
        <v>17546016986</v>
      </c>
      <c r="I32" s="51">
        <f>+I33+I78</f>
        <v>16494658518</v>
      </c>
      <c r="J32" s="51">
        <f t="shared" si="1"/>
        <v>15634352195</v>
      </c>
      <c r="K32" s="52">
        <f t="shared" si="1"/>
        <v>1415533881</v>
      </c>
    </row>
    <row r="33" spans="1:11">
      <c r="A33" s="48">
        <v>2101</v>
      </c>
      <c r="B33" s="49" t="s">
        <v>17</v>
      </c>
      <c r="C33" s="50">
        <f t="shared" ref="C33:J33" si="2">+C34+C50</f>
        <v>18473510768</v>
      </c>
      <c r="D33" s="51">
        <f>+D34+D50</f>
        <v>981350686</v>
      </c>
      <c r="E33" s="51">
        <f>+E34+E50</f>
        <v>1174535043</v>
      </c>
      <c r="F33" s="51">
        <f t="shared" si="2"/>
        <v>18280326411</v>
      </c>
      <c r="G33" s="50">
        <f t="shared" si="2"/>
        <v>17006014874</v>
      </c>
      <c r="H33" s="51">
        <f t="shared" si="2"/>
        <v>16950665116</v>
      </c>
      <c r="I33" s="51">
        <f>+I34+I50</f>
        <v>16006375371</v>
      </c>
      <c r="J33" s="51">
        <f t="shared" si="2"/>
        <v>15189069048</v>
      </c>
      <c r="K33" s="51">
        <f>+K34+K50</f>
        <v>1274311537</v>
      </c>
    </row>
    <row r="34" spans="1:11">
      <c r="A34" s="48">
        <v>210101</v>
      </c>
      <c r="B34" s="49" t="s">
        <v>18</v>
      </c>
      <c r="C34" s="50">
        <f>+C35+C36+C37+C38+C39+C40+C41+C43+C44+C45+C55+C42</f>
        <v>9084857488</v>
      </c>
      <c r="D34" s="51">
        <f>+D35+D36+D37+D38+D39+D40+D41+D43+D44+D45+D55</f>
        <v>600000</v>
      </c>
      <c r="E34" s="51">
        <f t="shared" ref="E34:J34" si="3">+E35+E36+E37+E38+E39+E40+E41+E43+E44+E45+E55+E42</f>
        <v>1044535043</v>
      </c>
      <c r="F34" s="51">
        <f>+F35+F36+F37+F38+F39+F40+F41+F43+F44+F45+F55+F42</f>
        <v>8040922445</v>
      </c>
      <c r="G34" s="50">
        <f>+G35+G36+G37+G38+G39+G40+G41+G43+G44+G45+G55+G42</f>
        <v>7347088583</v>
      </c>
      <c r="H34" s="51">
        <f>+H35+H36+H37+H38+H39+H40+H41+H43+H44+H45+H55+H42</f>
        <v>7345242057</v>
      </c>
      <c r="I34" s="51">
        <f>+I35+I36+I37+I38+I39+I40+I41+I43+I44+I45+I55+I42</f>
        <v>7345242057</v>
      </c>
      <c r="J34" s="51">
        <f t="shared" si="3"/>
        <v>7117189683</v>
      </c>
      <c r="K34" s="52">
        <f>+K35+K36+K38+K39+K40+K41+K44+K45+K55+K37+K43+K42</f>
        <v>693833862</v>
      </c>
    </row>
    <row r="35" spans="1:11" ht="13.5" thickBot="1">
      <c r="A35" s="53">
        <v>21010101</v>
      </c>
      <c r="B35" s="54" t="s">
        <v>19</v>
      </c>
      <c r="C35" s="55">
        <f>[5]enero2020!$C$8</f>
        <v>4956446366</v>
      </c>
      <c r="D35" s="56"/>
      <c r="E35" s="21">
        <f>400000000+500000+22436366</f>
        <v>422936366</v>
      </c>
      <c r="F35" s="56">
        <f>C35+D35-E35</f>
        <v>4533510000</v>
      </c>
      <c r="G35" s="57">
        <f>[5]noviembre2020!$I$8+[5]noviembre2020!$J$8</f>
        <v>4119345856</v>
      </c>
      <c r="H35" s="58">
        <f>G35</f>
        <v>4119345856</v>
      </c>
      <c r="I35" s="58">
        <f>H35</f>
        <v>4119345856</v>
      </c>
      <c r="J35" s="58">
        <f>[5]noviembre2020!$J$8</f>
        <v>4032936836</v>
      </c>
      <c r="K35" s="59">
        <f>F35-G35</f>
        <v>414164144</v>
      </c>
    </row>
    <row r="36" spans="1:11" ht="15.75" thickBot="1">
      <c r="A36" s="53">
        <v>21010105</v>
      </c>
      <c r="B36" s="54" t="s">
        <v>20</v>
      </c>
      <c r="C36" s="55">
        <f>[5]enero2020!$C$9</f>
        <v>156800000</v>
      </c>
      <c r="D36" s="21"/>
      <c r="E36" s="21">
        <v>6249786</v>
      </c>
      <c r="F36" s="56">
        <f t="shared" ref="F36:F44" si="4">C36+D36-E36</f>
        <v>150550214</v>
      </c>
      <c r="G36" s="60">
        <f>[5]noviembre2020!$D$9+[5]noviembre2020!$I$9++[5]noviembre2020!$J$9</f>
        <v>137923360</v>
      </c>
      <c r="H36" s="61">
        <f>[5]noviembre2020!$I$9+[5]noviembre2020!$J$9</f>
        <v>137672165</v>
      </c>
      <c r="I36" s="61">
        <f>H36</f>
        <v>137672165</v>
      </c>
      <c r="J36" s="61">
        <f>[5]noviembre2020!$J$9</f>
        <v>135192317</v>
      </c>
      <c r="K36" s="59">
        <f t="shared" ref="K36:K44" si="5">F36-G36</f>
        <v>12626854</v>
      </c>
    </row>
    <row r="37" spans="1:11" ht="15.75" thickBot="1">
      <c r="A37" s="53">
        <v>21010107</v>
      </c>
      <c r="B37" s="54" t="s">
        <v>21</v>
      </c>
      <c r="C37" s="55">
        <f>[5]enero2020!$C$10</f>
        <v>31900000</v>
      </c>
      <c r="D37" s="21"/>
      <c r="E37" s="62">
        <v>1795197</v>
      </c>
      <c r="F37" s="56">
        <f t="shared" si="4"/>
        <v>30104803</v>
      </c>
      <c r="G37" s="63">
        <f>[5]noviembre2020!$D$10+[5]noviembre2020!$I$10+[5]noviembre2020!$J$10</f>
        <v>25199687</v>
      </c>
      <c r="H37" s="58">
        <f>[5]noviembre2020!$I$10+[5]noviembre2020!$J$10</f>
        <v>25151840</v>
      </c>
      <c r="I37" s="58">
        <f>H37</f>
        <v>25151840</v>
      </c>
      <c r="J37" s="58">
        <f>[5]noviembre2020!$J$10</f>
        <v>24704537</v>
      </c>
      <c r="K37" s="59">
        <f>F37-G37</f>
        <v>4905116</v>
      </c>
    </row>
    <row r="38" spans="1:11">
      <c r="A38" s="53">
        <v>21010113</v>
      </c>
      <c r="B38" s="54" t="s">
        <v>22</v>
      </c>
      <c r="C38" s="55"/>
      <c r="D38" s="56"/>
      <c r="E38" s="56"/>
      <c r="F38" s="56">
        <f t="shared" si="4"/>
        <v>0</v>
      </c>
      <c r="G38" s="57"/>
      <c r="H38" s="58"/>
      <c r="I38" s="58"/>
      <c r="J38" s="58"/>
      <c r="K38" s="59">
        <f t="shared" si="5"/>
        <v>0</v>
      </c>
    </row>
    <row r="39" spans="1:11" ht="15">
      <c r="A39" s="53">
        <v>21010117</v>
      </c>
      <c r="B39" s="54" t="s">
        <v>23</v>
      </c>
      <c r="C39" s="55">
        <f>[5]enero2020!$C$15</f>
        <v>504900000</v>
      </c>
      <c r="D39" s="62"/>
      <c r="E39" s="64">
        <f>30000000+31000000+5000000+2000000</f>
        <v>68000000</v>
      </c>
      <c r="F39" s="56">
        <f t="shared" si="4"/>
        <v>436900000</v>
      </c>
      <c r="G39" s="57">
        <f>[5]noviembre2020!$I$15+[5]noviembre2020!$J$15</f>
        <v>436538662</v>
      </c>
      <c r="H39" s="58">
        <f>[5]noviembre2020!$I$15+[5]noviembre2020!$J$15</f>
        <v>436538662</v>
      </c>
      <c r="I39" s="58">
        <f>[5]noviembre2020!$I$15+[5]noviembre2020!$J$15</f>
        <v>436538662</v>
      </c>
      <c r="J39" s="58">
        <f>[5]noviembre2020!$J$15</f>
        <v>436538664</v>
      </c>
      <c r="K39" s="59">
        <f t="shared" si="5"/>
        <v>361338</v>
      </c>
    </row>
    <row r="40" spans="1:11" ht="13.5" thickBot="1">
      <c r="A40" s="53">
        <v>21010119</v>
      </c>
      <c r="B40" s="54" t="s">
        <v>24</v>
      </c>
      <c r="C40" s="55">
        <f>[5]enero2020!$C$16</f>
        <v>243100000</v>
      </c>
      <c r="D40" s="65">
        <v>600000</v>
      </c>
      <c r="E40" s="56">
        <f>38000000</f>
        <v>38000000</v>
      </c>
      <c r="F40" s="56">
        <f t="shared" si="4"/>
        <v>205700000</v>
      </c>
      <c r="G40" s="57">
        <f>[5]noviembre2020!$D$16+[5]noviembre2020!$I$16+[5]noviembre2020!$J$16</f>
        <v>205431936</v>
      </c>
      <c r="H40" s="58">
        <f>[5]noviembre2020!$I$16+[5]noviembre2020!$J$16</f>
        <v>204862261</v>
      </c>
      <c r="I40" s="58">
        <f>[5]noviembre2020!$I$16+[5]noviembre2020!$J$16</f>
        <v>204862261</v>
      </c>
      <c r="J40" s="58">
        <f>[5]noviembre2020!$J$16</f>
        <v>202499278</v>
      </c>
      <c r="K40" s="59">
        <f t="shared" si="5"/>
        <v>268064</v>
      </c>
    </row>
    <row r="41" spans="1:11" ht="15">
      <c r="A41" s="53">
        <v>21010121</v>
      </c>
      <c r="B41" s="54" t="s">
        <v>25</v>
      </c>
      <c r="C41" s="55">
        <f>[5]enero2020!$C$17</f>
        <v>253000000</v>
      </c>
      <c r="D41" s="62"/>
      <c r="E41" s="62">
        <v>32154196</v>
      </c>
      <c r="F41" s="56">
        <f t="shared" si="4"/>
        <v>220845804</v>
      </c>
      <c r="G41" s="57">
        <f>[5]noviembre2020!$D$17+[5]noviembre2020!$I$17+[5]noviembre2020!$J$17</f>
        <v>201502806</v>
      </c>
      <c r="H41" s="58">
        <f>[5]noviembre2020!$I$17+[5]noviembre2020!$J$17</f>
        <v>201122275</v>
      </c>
      <c r="I41" s="58">
        <f>[5]noviembre2020!$I$17+[5]noviembre2020!$J$17</f>
        <v>201122275</v>
      </c>
      <c r="J41" s="58">
        <f>[5]noviembre2020!$J$17</f>
        <v>197541769</v>
      </c>
      <c r="K41" s="59">
        <f t="shared" si="5"/>
        <v>19342998</v>
      </c>
    </row>
    <row r="42" spans="1:11" ht="15">
      <c r="A42" s="53"/>
      <c r="B42" s="66" t="s">
        <v>26</v>
      </c>
      <c r="C42" s="55">
        <f>[5]enero2020!$C$18</f>
        <v>33000000</v>
      </c>
      <c r="D42" s="62"/>
      <c r="E42" s="62">
        <v>4913624</v>
      </c>
      <c r="F42" s="56">
        <f t="shared" si="4"/>
        <v>28086376</v>
      </c>
      <c r="G42" s="57">
        <f>[5]noviembre2020!$I$18+[5]noviembre2020!$J$18</f>
        <v>21374066</v>
      </c>
      <c r="H42" s="58">
        <f>G42</f>
        <v>21374066</v>
      </c>
      <c r="I42" s="58">
        <f>H42</f>
        <v>21374066</v>
      </c>
      <c r="J42" s="58">
        <f>[5]noviembre2020!$J$18</f>
        <v>20930372</v>
      </c>
      <c r="K42" s="59">
        <f t="shared" si="5"/>
        <v>6712310</v>
      </c>
    </row>
    <row r="43" spans="1:11">
      <c r="A43" s="53">
        <v>21010131</v>
      </c>
      <c r="B43" s="54" t="s">
        <v>27</v>
      </c>
      <c r="C43" s="55">
        <f>[5]enero2020!$C$19</f>
        <v>4070000</v>
      </c>
      <c r="D43" s="56"/>
      <c r="E43" s="56">
        <f>1070000</f>
        <v>1070000</v>
      </c>
      <c r="F43" s="56">
        <f t="shared" si="4"/>
        <v>3000000</v>
      </c>
      <c r="G43" s="57">
        <f>[5]noviembre2020!$I$19+[5]noviembre2020!$J$19</f>
        <v>1666234</v>
      </c>
      <c r="H43" s="58">
        <f>[5]noviembre2020!$I$19+[5]noviembre2020!$J$19</f>
        <v>1666234</v>
      </c>
      <c r="I43" s="58">
        <f>H43</f>
        <v>1666234</v>
      </c>
      <c r="J43" s="58">
        <f>[5]noviembre2020!$J$19</f>
        <v>1628518</v>
      </c>
      <c r="K43" s="59">
        <f t="shared" si="5"/>
        <v>1333766</v>
      </c>
    </row>
    <row r="44" spans="1:11">
      <c r="A44" s="53">
        <v>21010133</v>
      </c>
      <c r="B44" s="54" t="s">
        <v>28</v>
      </c>
      <c r="C44" s="55">
        <f>[5]enero2020!$C$20</f>
        <v>20000000</v>
      </c>
      <c r="D44" s="56"/>
      <c r="E44" s="56"/>
      <c r="F44" s="56">
        <f t="shared" si="4"/>
        <v>20000000</v>
      </c>
      <c r="G44" s="57">
        <f>[5]noviembre2020!$I$20+[5]noviembre2020!$J$20</f>
        <v>13287690</v>
      </c>
      <c r="H44" s="58">
        <f>G44</f>
        <v>13287690</v>
      </c>
      <c r="I44" s="58">
        <f>H44</f>
        <v>13287690</v>
      </c>
      <c r="J44" s="58">
        <f>[5]noviembre2020!$J$20</f>
        <v>7283946</v>
      </c>
      <c r="K44" s="59">
        <f t="shared" si="5"/>
        <v>6712310</v>
      </c>
    </row>
    <row r="45" spans="1:11">
      <c r="A45" s="48">
        <v>21010111</v>
      </c>
      <c r="B45" s="49" t="s">
        <v>29</v>
      </c>
      <c r="C45" s="22">
        <f>+C46+C47+C48+C49</f>
        <v>537200000</v>
      </c>
      <c r="D45" s="51">
        <f>+D46+D47+D48+D49</f>
        <v>0</v>
      </c>
      <c r="E45" s="51">
        <f>+E46+E47+E48+E49</f>
        <v>146015874</v>
      </c>
      <c r="F45" s="51">
        <f t="shared" ref="F45:K45" si="6">+F46+F47+F48+F49</f>
        <v>391184126</v>
      </c>
      <c r="G45" s="50">
        <f t="shared" si="6"/>
        <v>362246426</v>
      </c>
      <c r="H45" s="51">
        <f t="shared" si="6"/>
        <v>361649148</v>
      </c>
      <c r="I45" s="51">
        <f>+I46+I47+I48+I49</f>
        <v>361649148</v>
      </c>
      <c r="J45" s="51">
        <f t="shared" si="6"/>
        <v>356636532</v>
      </c>
      <c r="K45" s="52">
        <f t="shared" si="6"/>
        <v>28937700</v>
      </c>
    </row>
    <row r="46" spans="1:11" ht="14.25">
      <c r="A46" s="53">
        <v>2101011101</v>
      </c>
      <c r="B46" s="54" t="s">
        <v>30</v>
      </c>
      <c r="C46" s="23">
        <f>[5]enero2020!$C$11</f>
        <v>387200000</v>
      </c>
      <c r="D46" s="67"/>
      <c r="E46" s="67">
        <f>55900000+35115874</f>
        <v>91015874</v>
      </c>
      <c r="F46" s="56">
        <f>C46+D46-E46</f>
        <v>296184126</v>
      </c>
      <c r="G46" s="57">
        <f>[5]noviembre2020!$D$11+[5]noviembre2020!$I$11+[5]noviembre2020!$J$11</f>
        <v>282094635</v>
      </c>
      <c r="H46" s="58">
        <f>[5]noviembre2020!$I$11+[5]noviembre2020!$J$11</f>
        <v>281561892</v>
      </c>
      <c r="I46" s="58">
        <f>[5]noviembre2020!$I$11+[5]noviembre2020!$J$11</f>
        <v>281561892</v>
      </c>
      <c r="J46" s="58">
        <f>[5]noviembre2020!$J$11</f>
        <v>276549276</v>
      </c>
      <c r="K46" s="59">
        <f>F46-G46</f>
        <v>14089491</v>
      </c>
    </row>
    <row r="47" spans="1:11" ht="13.5" thickBot="1">
      <c r="A47" s="53">
        <v>2101011106</v>
      </c>
      <c r="B47" s="54" t="s">
        <v>31</v>
      </c>
      <c r="C47" s="23">
        <f>[5]enero2020!$C$12</f>
        <v>54000000</v>
      </c>
      <c r="D47" s="68"/>
      <c r="E47" s="56"/>
      <c r="F47" s="56">
        <f>C47+D47-E47</f>
        <v>54000000</v>
      </c>
      <c r="G47" s="57">
        <f>[5]noviembre2020!$D$12+[5]noviembre2020!$J$12</f>
        <v>52175426</v>
      </c>
      <c r="H47" s="58">
        <f>[5]noviembre2020!$J$12</f>
        <v>52175233</v>
      </c>
      <c r="I47" s="58">
        <f>H47</f>
        <v>52175233</v>
      </c>
      <c r="J47" s="58">
        <f>[5]noviembre2020!$J$12</f>
        <v>52175233</v>
      </c>
      <c r="K47" s="59">
        <f>F47-G47</f>
        <v>1824574</v>
      </c>
    </row>
    <row r="48" spans="1:11" ht="13.5" thickBot="1">
      <c r="A48" s="53">
        <v>2101011108</v>
      </c>
      <c r="B48" s="54" t="s">
        <v>32</v>
      </c>
      <c r="C48" s="23">
        <f>[5]enero2020!$C$13</f>
        <v>63000000</v>
      </c>
      <c r="D48" s="69"/>
      <c r="E48" s="56">
        <f>50000000+4000000+1000000</f>
        <v>55000000</v>
      </c>
      <c r="F48" s="56">
        <f>C48+D48-E48</f>
        <v>8000000</v>
      </c>
      <c r="G48" s="57">
        <f>[5]noviembre2020!$D$13+[5]noviembre2020!$J$13</f>
        <v>7884772</v>
      </c>
      <c r="H48" s="58">
        <f>[5]noviembre2020!$J$13</f>
        <v>7820430</v>
      </c>
      <c r="I48" s="58">
        <f>H48</f>
        <v>7820430</v>
      </c>
      <c r="J48" s="58">
        <f>I48</f>
        <v>7820430</v>
      </c>
      <c r="K48" s="59">
        <f>F48-G48</f>
        <v>115228</v>
      </c>
    </row>
    <row r="49" spans="1:11">
      <c r="A49" s="53">
        <v>2101011109</v>
      </c>
      <c r="B49" s="54" t="s">
        <v>33</v>
      </c>
      <c r="C49" s="23">
        <f>[5]enero2020!$C$14</f>
        <v>33000000</v>
      </c>
      <c r="D49" s="56"/>
      <c r="E49" s="56"/>
      <c r="F49" s="56">
        <f>C49+D49-E49</f>
        <v>33000000</v>
      </c>
      <c r="G49" s="57">
        <f>[5]noviembre2020!$J$14</f>
        <v>20091593</v>
      </c>
      <c r="H49" s="58">
        <f>G49</f>
        <v>20091593</v>
      </c>
      <c r="I49" s="58">
        <f>H49</f>
        <v>20091593</v>
      </c>
      <c r="J49" s="58">
        <f>I49</f>
        <v>20091593</v>
      </c>
      <c r="K49" s="59">
        <f>F49-G49</f>
        <v>12908407</v>
      </c>
    </row>
    <row r="50" spans="1:11">
      <c r="A50" s="48">
        <v>210102</v>
      </c>
      <c r="B50" s="49" t="s">
        <v>34</v>
      </c>
      <c r="C50" s="51">
        <f>+C51+C52+C53+C54</f>
        <v>9388653280</v>
      </c>
      <c r="D50" s="51">
        <f>+D51+D52+D53+D54</f>
        <v>980750686</v>
      </c>
      <c r="E50" s="51">
        <f>+E51+E52+E53+E54</f>
        <v>130000000</v>
      </c>
      <c r="F50" s="51">
        <f t="shared" ref="F50:K50" si="7">+F51+F52+F53+F54</f>
        <v>10239403966</v>
      </c>
      <c r="G50" s="50">
        <f>+G51+G52+G53+G54</f>
        <v>9658926291</v>
      </c>
      <c r="H50" s="51">
        <f t="shared" si="7"/>
        <v>9605423059</v>
      </c>
      <c r="I50" s="51">
        <f>+I51+I52+I53+I54</f>
        <v>8661133314</v>
      </c>
      <c r="J50" s="51">
        <f t="shared" si="7"/>
        <v>8071879365</v>
      </c>
      <c r="K50" s="52">
        <f t="shared" si="7"/>
        <v>580477675</v>
      </c>
    </row>
    <row r="51" spans="1:11">
      <c r="A51" s="53">
        <v>21010201</v>
      </c>
      <c r="B51" s="54" t="s">
        <v>35</v>
      </c>
      <c r="C51" s="55">
        <f>[5]enero2020!$C$51</f>
        <v>2088653280</v>
      </c>
      <c r="D51" s="56"/>
      <c r="E51" s="56"/>
      <c r="F51" s="56">
        <f>C51+D51-E51</f>
        <v>2088653280</v>
      </c>
      <c r="G51" s="57">
        <f>[5]noviembre2020!$D$53+[5]noviembre2020!$I$53+[5]noviembre2020!$J$53</f>
        <v>1708469428</v>
      </c>
      <c r="H51" s="58">
        <f>[5]noviembre2020!$I$51+[5]noviembre2020!$J$51</f>
        <v>1708409428</v>
      </c>
      <c r="I51" s="58">
        <f>[5]noviembre2020!$I$51+[5]noviembre2020!$J$51</f>
        <v>1708409428</v>
      </c>
      <c r="J51" s="58">
        <f>[5]noviembre2020!$J$51</f>
        <v>1664382243</v>
      </c>
      <c r="K51" s="59">
        <f>F51-G51</f>
        <v>380183852</v>
      </c>
    </row>
    <row r="52" spans="1:11" ht="15">
      <c r="A52" s="53">
        <v>21010203</v>
      </c>
      <c r="B52" s="54" t="s">
        <v>36</v>
      </c>
      <c r="C52" s="55">
        <f>[5]enero2020!$C$22</f>
        <v>4200000000</v>
      </c>
      <c r="D52" s="70">
        <f>280750686+100000000</f>
        <v>380750686</v>
      </c>
      <c r="E52" s="71"/>
      <c r="F52" s="56">
        <f>C52+D52-E52</f>
        <v>4580750686</v>
      </c>
      <c r="G52" s="57">
        <f>[5]noviembre2020!$D$22+[5]noviembre2020!$E$22+[5]noviembre2020!$H$22+[5]noviembre2020!$I$22+[5]noviembre2020!$J$22</f>
        <v>4451187054</v>
      </c>
      <c r="H52" s="58">
        <f>[5]noviembre2020!$H$22+[5]noviembre2020!$I$22+[5]noviembre2020!$J$22</f>
        <v>4406033054</v>
      </c>
      <c r="I52" s="58">
        <f>[5]noviembre2020!$I$22+[5]noviembre2020!$J$22</f>
        <v>3895464369</v>
      </c>
      <c r="J52" s="58">
        <f>[5]noviembre2020!$J$22</f>
        <v>3597395749</v>
      </c>
      <c r="K52" s="59">
        <f>F52-G52</f>
        <v>129563632</v>
      </c>
    </row>
    <row r="53" spans="1:11">
      <c r="A53" s="53">
        <v>21010207</v>
      </c>
      <c r="B53" s="54" t="s">
        <v>37</v>
      </c>
      <c r="C53" s="55">
        <v>0</v>
      </c>
      <c r="D53" s="56"/>
      <c r="E53" s="56"/>
      <c r="F53" s="56">
        <f>C53+D53-E53</f>
        <v>0</v>
      </c>
      <c r="G53" s="57"/>
      <c r="H53" s="58"/>
      <c r="I53" s="58"/>
      <c r="J53" s="58"/>
      <c r="K53" s="59">
        <f>F53-G53</f>
        <v>0</v>
      </c>
    </row>
    <row r="54" spans="1:11">
      <c r="A54" s="53">
        <v>21010209</v>
      </c>
      <c r="B54" s="54" t="s">
        <v>38</v>
      </c>
      <c r="C54" s="55">
        <f>[5]enero2020!$C$23</f>
        <v>3100000000</v>
      </c>
      <c r="D54" s="70">
        <f>300000000+300000000</f>
        <v>600000000</v>
      </c>
      <c r="E54" s="56">
        <f>100000000+30000000</f>
        <v>130000000</v>
      </c>
      <c r="F54" s="56">
        <f>C54+D54-E54</f>
        <v>3570000000</v>
      </c>
      <c r="G54" s="57">
        <f>[5]noviembre2020!$D$23+[5]noviembre2020!$E$23+[5]noviembre2020!$H$23+[5]noviembre2020!$I$23+[5]noviembre2020!$J$23</f>
        <v>3499269809</v>
      </c>
      <c r="H54" s="58">
        <f>[5]noviembre2020!$H$23+[5]noviembre2020!$I$23+[5]noviembre2020!$J$23</f>
        <v>3490980577</v>
      </c>
      <c r="I54" s="58">
        <f>[5]noviembre2020!$I$23+[5]noviembre2020!$J$23</f>
        <v>3057259517</v>
      </c>
      <c r="J54" s="58">
        <f>[5]noviembre2020!$J$23</f>
        <v>2810101373</v>
      </c>
      <c r="K54" s="59">
        <f>F54-G54</f>
        <v>70730191</v>
      </c>
    </row>
    <row r="55" spans="1:11">
      <c r="A55" s="48">
        <v>210103</v>
      </c>
      <c r="B55" s="49" t="s">
        <v>39</v>
      </c>
      <c r="C55" s="50">
        <f>+C56+C71</f>
        <v>2344441122</v>
      </c>
      <c r="D55" s="51">
        <f t="shared" ref="D55:K55" si="8">+D56+D71</f>
        <v>0</v>
      </c>
      <c r="E55" s="51">
        <f t="shared" si="8"/>
        <v>323400000</v>
      </c>
      <c r="F55" s="51">
        <f t="shared" si="8"/>
        <v>2021041122</v>
      </c>
      <c r="G55" s="50">
        <f t="shared" si="8"/>
        <v>1822571860</v>
      </c>
      <c r="H55" s="51">
        <f t="shared" si="8"/>
        <v>1822571860</v>
      </c>
      <c r="I55" s="51">
        <f>+I56+I71</f>
        <v>1822571860</v>
      </c>
      <c r="J55" s="51">
        <f>+J56+J71</f>
        <v>1701296914</v>
      </c>
      <c r="K55" s="51">
        <f t="shared" si="8"/>
        <v>198469262</v>
      </c>
    </row>
    <row r="56" spans="1:11">
      <c r="A56" s="53">
        <v>21010301</v>
      </c>
      <c r="B56" s="49" t="s">
        <v>40</v>
      </c>
      <c r="C56" s="50">
        <f t="shared" ref="C56:K56" si="9">+C57</f>
        <v>715472478</v>
      </c>
      <c r="D56" s="51">
        <f>+D57</f>
        <v>0</v>
      </c>
      <c r="E56" s="51">
        <f>+E57</f>
        <v>55500000</v>
      </c>
      <c r="F56" s="51">
        <f t="shared" si="9"/>
        <v>659972478</v>
      </c>
      <c r="G56" s="50">
        <f t="shared" si="9"/>
        <v>560267064</v>
      </c>
      <c r="H56" s="51">
        <f t="shared" si="9"/>
        <v>560267064</v>
      </c>
      <c r="I56" s="51">
        <f t="shared" si="9"/>
        <v>560267064</v>
      </c>
      <c r="J56" s="51">
        <f t="shared" si="9"/>
        <v>511984147</v>
      </c>
      <c r="K56" s="52">
        <f t="shared" si="9"/>
        <v>99705414</v>
      </c>
    </row>
    <row r="57" spans="1:11">
      <c r="A57" s="53">
        <v>2101030101</v>
      </c>
      <c r="B57" s="49" t="s">
        <v>41</v>
      </c>
      <c r="C57" s="50">
        <f t="shared" ref="C57:J57" si="10">+C59+C61+C63+C65+C66</f>
        <v>715472478</v>
      </c>
      <c r="D57" s="51">
        <f>+D59+D61+D63+D65+D66</f>
        <v>0</v>
      </c>
      <c r="E57" s="51">
        <f>+E59+E61+E63+E65+E66</f>
        <v>55500000</v>
      </c>
      <c r="F57" s="51">
        <f t="shared" si="10"/>
        <v>659972478</v>
      </c>
      <c r="G57" s="50">
        <f t="shared" si="10"/>
        <v>560267064</v>
      </c>
      <c r="H57" s="51">
        <f t="shared" si="10"/>
        <v>560267064</v>
      </c>
      <c r="I57" s="51">
        <f>+I59+I61+I63+I65+I66</f>
        <v>560267064</v>
      </c>
      <c r="J57" s="51">
        <f t="shared" si="10"/>
        <v>511984147</v>
      </c>
      <c r="K57" s="52">
        <f>+K59+K61+K63+K65+K66</f>
        <v>99705414</v>
      </c>
    </row>
    <row r="58" spans="1:11">
      <c r="A58" s="72">
        <v>210103010101</v>
      </c>
      <c r="B58" s="49" t="s">
        <v>42</v>
      </c>
      <c r="C58" s="50">
        <f t="shared" ref="C58:J58" si="11">+C59</f>
        <v>0</v>
      </c>
      <c r="D58" s="51">
        <f>+D59</f>
        <v>0</v>
      </c>
      <c r="E58" s="51">
        <f>+E59</f>
        <v>0</v>
      </c>
      <c r="F58" s="51">
        <f t="shared" si="11"/>
        <v>0</v>
      </c>
      <c r="G58" s="50">
        <f t="shared" si="11"/>
        <v>0</v>
      </c>
      <c r="H58" s="51">
        <f t="shared" si="11"/>
        <v>0</v>
      </c>
      <c r="I58" s="51">
        <f t="shared" si="11"/>
        <v>0</v>
      </c>
      <c r="J58" s="51">
        <f t="shared" si="11"/>
        <v>0</v>
      </c>
      <c r="K58" s="52">
        <f>+K59</f>
        <v>0</v>
      </c>
    </row>
    <row r="59" spans="1:11">
      <c r="A59" s="72">
        <v>21010301010101</v>
      </c>
      <c r="B59" s="54" t="s">
        <v>43</v>
      </c>
      <c r="C59" s="55">
        <v>0</v>
      </c>
      <c r="D59" s="56">
        <v>0</v>
      </c>
      <c r="E59" s="56">
        <v>0</v>
      </c>
      <c r="F59" s="56">
        <f>C59</f>
        <v>0</v>
      </c>
      <c r="G59" s="57">
        <v>0</v>
      </c>
      <c r="H59" s="58">
        <f>+G59</f>
        <v>0</v>
      </c>
      <c r="I59" s="58">
        <f>+H59</f>
        <v>0</v>
      </c>
      <c r="J59" s="58">
        <f>+H59</f>
        <v>0</v>
      </c>
      <c r="K59" s="58"/>
    </row>
    <row r="60" spans="1:11">
      <c r="A60" s="72">
        <v>210103010103</v>
      </c>
      <c r="B60" s="49" t="s">
        <v>44</v>
      </c>
      <c r="C60" s="50">
        <f t="shared" ref="C60:K60" si="12">+C61</f>
        <v>346500000</v>
      </c>
      <c r="D60" s="51">
        <f>+D61</f>
        <v>0</v>
      </c>
      <c r="E60" s="51">
        <f>+E61</f>
        <v>23500000</v>
      </c>
      <c r="F60" s="50">
        <f t="shared" si="12"/>
        <v>323000000</v>
      </c>
      <c r="G60" s="50">
        <f t="shared" si="12"/>
        <v>285482664</v>
      </c>
      <c r="H60" s="51">
        <f t="shared" si="12"/>
        <v>285482664</v>
      </c>
      <c r="I60" s="51">
        <f t="shared" si="12"/>
        <v>285482664</v>
      </c>
      <c r="J60" s="51">
        <f t="shared" si="12"/>
        <v>260193634</v>
      </c>
      <c r="K60" s="52">
        <f t="shared" si="12"/>
        <v>37517336</v>
      </c>
    </row>
    <row r="61" spans="1:11" ht="15">
      <c r="A61" s="24" t="s">
        <v>45</v>
      </c>
      <c r="B61" s="66" t="s">
        <v>46</v>
      </c>
      <c r="C61" s="55">
        <f>[5]enero2020!$C$24</f>
        <v>346500000</v>
      </c>
      <c r="D61" s="56"/>
      <c r="E61" s="56">
        <v>23500000</v>
      </c>
      <c r="F61" s="55">
        <f>C61+D61-E61</f>
        <v>323000000</v>
      </c>
      <c r="G61" s="57">
        <f>[5]noviembre2020!$I$24+[5]noviembre2020!$J$24</f>
        <v>285482664</v>
      </c>
      <c r="H61" s="58">
        <f>G61</f>
        <v>285482664</v>
      </c>
      <c r="I61" s="58">
        <f>H61</f>
        <v>285482664</v>
      </c>
      <c r="J61" s="58">
        <f>[5]noviembre2020!$J$24</f>
        <v>260193634</v>
      </c>
      <c r="K61" s="59">
        <f>F61-G61</f>
        <v>37517336</v>
      </c>
    </row>
    <row r="62" spans="1:11">
      <c r="A62" s="72">
        <v>210103010105</v>
      </c>
      <c r="B62" s="49" t="s">
        <v>47</v>
      </c>
      <c r="C62" s="51">
        <f t="shared" ref="C62:K62" si="13">+C63</f>
        <v>0</v>
      </c>
      <c r="D62" s="51">
        <f>+D63</f>
        <v>0</v>
      </c>
      <c r="E62" s="51">
        <f>+E63</f>
        <v>0</v>
      </c>
      <c r="F62" s="50">
        <f t="shared" si="13"/>
        <v>0</v>
      </c>
      <c r="G62" s="50">
        <f t="shared" si="13"/>
        <v>0</v>
      </c>
      <c r="H62" s="51">
        <f t="shared" si="13"/>
        <v>0</v>
      </c>
      <c r="I62" s="51">
        <f t="shared" si="13"/>
        <v>0</v>
      </c>
      <c r="J62" s="51">
        <f t="shared" si="13"/>
        <v>0</v>
      </c>
      <c r="K62" s="52">
        <f t="shared" si="13"/>
        <v>0</v>
      </c>
    </row>
    <row r="63" spans="1:11" ht="15">
      <c r="A63" s="72">
        <v>21010301010503</v>
      </c>
      <c r="B63" s="66" t="s">
        <v>48</v>
      </c>
      <c r="C63" s="55">
        <v>0</v>
      </c>
      <c r="D63" s="56"/>
      <c r="E63" s="56"/>
      <c r="F63" s="55">
        <f>C63+D63-E63</f>
        <v>0</v>
      </c>
      <c r="G63" s="57">
        <v>0</v>
      </c>
      <c r="H63" s="58">
        <f>G63</f>
        <v>0</v>
      </c>
      <c r="I63" s="58">
        <f>H63</f>
        <v>0</v>
      </c>
      <c r="J63" s="58">
        <v>0</v>
      </c>
      <c r="K63" s="59">
        <f>F63-G63</f>
        <v>0</v>
      </c>
    </row>
    <row r="64" spans="1:11">
      <c r="A64" s="72"/>
      <c r="B64" s="49" t="s">
        <v>49</v>
      </c>
      <c r="C64" s="50">
        <f t="shared" ref="C64:K64" si="14">+C65</f>
        <v>44000000</v>
      </c>
      <c r="D64" s="51">
        <f>+D65</f>
        <v>0</v>
      </c>
      <c r="E64" s="51">
        <f>+E65</f>
        <v>0</v>
      </c>
      <c r="F64" s="51">
        <f t="shared" si="14"/>
        <v>44000000</v>
      </c>
      <c r="G64" s="50">
        <f t="shared" si="14"/>
        <v>32961900</v>
      </c>
      <c r="H64" s="51">
        <f t="shared" si="14"/>
        <v>32961900</v>
      </c>
      <c r="I64" s="51">
        <f t="shared" si="14"/>
        <v>32961900</v>
      </c>
      <c r="J64" s="51">
        <f t="shared" si="14"/>
        <v>29972320</v>
      </c>
      <c r="K64" s="52">
        <f t="shared" si="14"/>
        <v>11038100</v>
      </c>
    </row>
    <row r="65" spans="1:11" ht="15">
      <c r="A65" s="72"/>
      <c r="B65" s="66" t="s">
        <v>50</v>
      </c>
      <c r="C65" s="55">
        <f>[5]enero2020!$C$25</f>
        <v>44000000</v>
      </c>
      <c r="D65" s="62"/>
      <c r="E65" s="62"/>
      <c r="F65" s="56">
        <f>C65+D65-E65</f>
        <v>44000000</v>
      </c>
      <c r="G65" s="55">
        <f>[5]noviembre2020!$I$25+[5]noviembre2020!$J$25</f>
        <v>32961900</v>
      </c>
      <c r="H65" s="56">
        <f>G65</f>
        <v>32961900</v>
      </c>
      <c r="I65" s="56">
        <f>H65</f>
        <v>32961900</v>
      </c>
      <c r="J65" s="56">
        <f>[5]noviembre2020!$J$25</f>
        <v>29972320</v>
      </c>
      <c r="K65" s="59">
        <f>F65-G65</f>
        <v>11038100</v>
      </c>
    </row>
    <row r="66" spans="1:11">
      <c r="A66" s="73">
        <v>2101030103</v>
      </c>
      <c r="B66" s="49" t="s">
        <v>51</v>
      </c>
      <c r="C66" s="50">
        <f>+C67+C68+C69+C70</f>
        <v>324972478</v>
      </c>
      <c r="D66" s="51">
        <f>+D67+D68+D69+D70</f>
        <v>0</v>
      </c>
      <c r="E66" s="51">
        <f>+E67+E68+E69+E70</f>
        <v>32000000</v>
      </c>
      <c r="F66" s="50">
        <f t="shared" ref="F66:K66" si="15">+F67+F68+F69+F70</f>
        <v>292972478</v>
      </c>
      <c r="G66" s="50">
        <f t="shared" si="15"/>
        <v>241822500</v>
      </c>
      <c r="H66" s="51">
        <f t="shared" si="15"/>
        <v>241822500</v>
      </c>
      <c r="I66" s="51">
        <f>+I67+I68+I69+I70</f>
        <v>241822500</v>
      </c>
      <c r="J66" s="51">
        <f t="shared" si="15"/>
        <v>221818193</v>
      </c>
      <c r="K66" s="52">
        <f t="shared" si="15"/>
        <v>51149978</v>
      </c>
    </row>
    <row r="67" spans="1:11">
      <c r="A67" s="72">
        <v>210103010301</v>
      </c>
      <c r="B67" s="54" t="s">
        <v>52</v>
      </c>
      <c r="C67" s="55">
        <f>[5]enero2020!$C$26</f>
        <v>45320000</v>
      </c>
      <c r="D67" s="56"/>
      <c r="E67" s="56"/>
      <c r="F67" s="55">
        <f>C67+D67-E67</f>
        <v>45320000</v>
      </c>
      <c r="G67" s="57">
        <f>[5]noviembre2020!$I$26+[5]noviembre2020!$J$26</f>
        <v>24225300</v>
      </c>
      <c r="H67" s="58">
        <f>G67</f>
        <v>24225300</v>
      </c>
      <c r="I67" s="58">
        <f>H67</f>
        <v>24225300</v>
      </c>
      <c r="J67" s="58">
        <f>[5]noviembre2020!$J$26</f>
        <v>22221101</v>
      </c>
      <c r="K67" s="59">
        <f>F67-G67</f>
        <v>21094700</v>
      </c>
    </row>
    <row r="68" spans="1:11">
      <c r="A68" s="72">
        <v>210103010303</v>
      </c>
      <c r="B68" s="54" t="s">
        <v>53</v>
      </c>
      <c r="C68" s="55">
        <f>[5]enero2020!$C$27</f>
        <v>183700000</v>
      </c>
      <c r="D68" s="56"/>
      <c r="E68" s="56">
        <v>24000000</v>
      </c>
      <c r="F68" s="55">
        <f>C68+D68-E68</f>
        <v>159700000</v>
      </c>
      <c r="G68" s="57">
        <f>[5]noviembre2020!$I$27+[5]noviembre2020!$J$27</f>
        <v>144984200</v>
      </c>
      <c r="H68" s="58">
        <f>G68</f>
        <v>144984200</v>
      </c>
      <c r="I68" s="58">
        <f>G68</f>
        <v>144984200</v>
      </c>
      <c r="J68" s="58">
        <f>[5]noviembre2020!$J$27</f>
        <v>132991500</v>
      </c>
      <c r="K68" s="59">
        <f>F68-G68</f>
        <v>14715800</v>
      </c>
    </row>
    <row r="69" spans="1:11">
      <c r="A69" s="72">
        <v>210103010305</v>
      </c>
      <c r="B69" s="54" t="s">
        <v>54</v>
      </c>
      <c r="C69" s="55">
        <f>[5]enero2020!$C$28</f>
        <v>33252478</v>
      </c>
      <c r="D69" s="56"/>
      <c r="E69" s="56"/>
      <c r="F69" s="55">
        <f>C69+D69-E69</f>
        <v>33252478</v>
      </c>
      <c r="G69" s="57">
        <f>[5]noviembre2020!$I$28+[5]noviembre2020!$J$28</f>
        <v>24225300</v>
      </c>
      <c r="H69" s="58">
        <f>G69</f>
        <v>24225300</v>
      </c>
      <c r="I69" s="58">
        <f>G69</f>
        <v>24225300</v>
      </c>
      <c r="J69" s="58">
        <f>[5]noviembre2020!$J$28</f>
        <v>22221101</v>
      </c>
      <c r="K69" s="59">
        <f>F69-G69</f>
        <v>9027178</v>
      </c>
    </row>
    <row r="70" spans="1:11" ht="15">
      <c r="A70" s="72">
        <v>210103010307</v>
      </c>
      <c r="B70" s="54" t="s">
        <v>55</v>
      </c>
      <c r="C70" s="55">
        <f>[5]enero2020!$C$29</f>
        <v>62700000</v>
      </c>
      <c r="D70" s="56"/>
      <c r="E70" s="67">
        <v>8000000</v>
      </c>
      <c r="F70" s="55">
        <f>C70+D70-E70</f>
        <v>54700000</v>
      </c>
      <c r="G70" s="63">
        <f>[5]noviembre2020!$I$29+[5]noviembre2020!$J$29</f>
        <v>48387700</v>
      </c>
      <c r="H70" s="58">
        <f>G70</f>
        <v>48387700</v>
      </c>
      <c r="I70" s="58">
        <f>H70</f>
        <v>48387700</v>
      </c>
      <c r="J70" s="58">
        <f>[5]noviembre2020!$J$29</f>
        <v>44384491</v>
      </c>
      <c r="K70" s="59">
        <f>F70-G70</f>
        <v>6312300</v>
      </c>
    </row>
    <row r="71" spans="1:11">
      <c r="A71" s="73">
        <v>21010303</v>
      </c>
      <c r="B71" s="49" t="s">
        <v>56</v>
      </c>
      <c r="C71" s="51">
        <f>+C72</f>
        <v>1628968644</v>
      </c>
      <c r="D71" s="51">
        <f>+D72</f>
        <v>0</v>
      </c>
      <c r="E71" s="51">
        <f>+E72</f>
        <v>267900000</v>
      </c>
      <c r="F71" s="51">
        <f t="shared" ref="F71:K71" si="16">+F72</f>
        <v>1361068644</v>
      </c>
      <c r="G71" s="50">
        <f t="shared" si="16"/>
        <v>1262304796</v>
      </c>
      <c r="H71" s="51">
        <f t="shared" si="16"/>
        <v>1262304796</v>
      </c>
      <c r="I71" s="51">
        <f t="shared" si="16"/>
        <v>1262304796</v>
      </c>
      <c r="J71" s="51">
        <f t="shared" si="16"/>
        <v>1189312767</v>
      </c>
      <c r="K71" s="52">
        <f t="shared" si="16"/>
        <v>98763848</v>
      </c>
    </row>
    <row r="72" spans="1:11">
      <c r="A72" s="72">
        <v>2101030301</v>
      </c>
      <c r="B72" s="49" t="s">
        <v>41</v>
      </c>
      <c r="C72" s="51">
        <f>+C73+C74+C75+C76+C77</f>
        <v>1628968644</v>
      </c>
      <c r="D72" s="51">
        <f>+D73+D74+D75+D76+D77</f>
        <v>0</v>
      </c>
      <c r="E72" s="51">
        <f>+E73+E74+E75+E76+E77</f>
        <v>267900000</v>
      </c>
      <c r="F72" s="51">
        <f t="shared" ref="F72:K72" si="17">+F73+F74+F75+F76+F77</f>
        <v>1361068644</v>
      </c>
      <c r="G72" s="50">
        <f t="shared" si="17"/>
        <v>1262304796</v>
      </c>
      <c r="H72" s="51">
        <f t="shared" si="17"/>
        <v>1262304796</v>
      </c>
      <c r="I72" s="51">
        <f>+I73+I74+I75+I76+I77</f>
        <v>1262304796</v>
      </c>
      <c r="J72" s="51">
        <f t="shared" si="17"/>
        <v>1189312767</v>
      </c>
      <c r="K72" s="52">
        <f t="shared" si="17"/>
        <v>98763848</v>
      </c>
    </row>
    <row r="73" spans="1:11" ht="15">
      <c r="A73" s="72">
        <v>210103030101</v>
      </c>
      <c r="B73" s="54" t="s">
        <v>57</v>
      </c>
      <c r="C73" s="55">
        <f>[5]enero2020!$C$30</f>
        <v>460000000</v>
      </c>
      <c r="D73" s="62"/>
      <c r="E73" s="62">
        <v>26900000</v>
      </c>
      <c r="F73" s="56">
        <f>C73+D73-E73</f>
        <v>433100000</v>
      </c>
      <c r="G73" s="57">
        <f>[5]noviembre2020!$I$30+[5]noviembre2020!$J$30</f>
        <v>433071057</v>
      </c>
      <c r="H73" s="58">
        <f t="shared" ref="H73:I75" si="18">G73</f>
        <v>433071057</v>
      </c>
      <c r="I73" s="58">
        <f t="shared" si="18"/>
        <v>433071057</v>
      </c>
      <c r="J73" s="58">
        <f>I73</f>
        <v>433071057</v>
      </c>
      <c r="K73" s="59">
        <f>F73-G73</f>
        <v>28943</v>
      </c>
    </row>
    <row r="74" spans="1:11" ht="15">
      <c r="A74" s="72">
        <v>210103030103</v>
      </c>
      <c r="B74" s="54" t="s">
        <v>58</v>
      </c>
      <c r="C74" s="55">
        <f>[5]enero2020!$C$31</f>
        <v>402668644</v>
      </c>
      <c r="D74" s="62"/>
      <c r="E74" s="67">
        <v>120000000</v>
      </c>
      <c r="F74" s="56">
        <f>C74+D74-E74</f>
        <v>282668644</v>
      </c>
      <c r="G74" s="57">
        <f>[5]noviembre2020!$I$31+[5]noviembre2020!$J$31</f>
        <v>253778932</v>
      </c>
      <c r="H74" s="58">
        <f t="shared" si="18"/>
        <v>253778932</v>
      </c>
      <c r="I74" s="58">
        <f>H74</f>
        <v>253778932</v>
      </c>
      <c r="J74" s="58">
        <f>[5]noviembre2020!$J$31</f>
        <v>230896541</v>
      </c>
      <c r="K74" s="59">
        <f>F74-G74</f>
        <v>28889712</v>
      </c>
    </row>
    <row r="75" spans="1:11" ht="15">
      <c r="A75" s="72">
        <v>210103030105</v>
      </c>
      <c r="B75" s="54" t="s">
        <v>59</v>
      </c>
      <c r="C75" s="55">
        <f>[5]enero2020!$C$32</f>
        <v>517000000</v>
      </c>
      <c r="D75" s="62"/>
      <c r="E75" s="62">
        <v>89000000</v>
      </c>
      <c r="F75" s="56">
        <f>C75+D75-E75</f>
        <v>428000000</v>
      </c>
      <c r="G75" s="57">
        <f>[5]noviembre2020!$I$32+[5]noviembre2020!$J$32</f>
        <v>382162007</v>
      </c>
      <c r="H75" s="58">
        <f t="shared" si="18"/>
        <v>382162007</v>
      </c>
      <c r="I75" s="58">
        <f t="shared" si="18"/>
        <v>382162007</v>
      </c>
      <c r="J75" s="58">
        <f>[5]noviembre2020!$J$32</f>
        <v>348040366</v>
      </c>
      <c r="K75" s="59">
        <f>F75-G75</f>
        <v>45837993</v>
      </c>
    </row>
    <row r="76" spans="1:11" ht="15">
      <c r="A76" s="72">
        <v>210103030107</v>
      </c>
      <c r="B76" s="54" t="s">
        <v>60</v>
      </c>
      <c r="C76" s="55">
        <f>[4]septiembre2020!C76</f>
        <v>4000000</v>
      </c>
      <c r="D76" s="56"/>
      <c r="E76" s="74">
        <v>0</v>
      </c>
      <c r="F76" s="56">
        <f>C76+D76-E76</f>
        <v>4000000</v>
      </c>
      <c r="G76" s="57"/>
      <c r="H76" s="58"/>
      <c r="I76" s="58"/>
      <c r="J76" s="58"/>
      <c r="K76" s="59">
        <f>F76-G76</f>
        <v>4000000</v>
      </c>
    </row>
    <row r="77" spans="1:11" ht="15">
      <c r="A77" s="72">
        <v>2101030303</v>
      </c>
      <c r="B77" s="49" t="s">
        <v>61</v>
      </c>
      <c r="C77" s="55">
        <f>[5]enero2020!$C$33</f>
        <v>245300000</v>
      </c>
      <c r="D77" s="62"/>
      <c r="E77" s="67">
        <v>32000000</v>
      </c>
      <c r="F77" s="56">
        <f>C77+D77-E77</f>
        <v>213300000</v>
      </c>
      <c r="G77" s="57">
        <f>[5]noviembre2020!$I$33+[5]noviembre2020!$J$33</f>
        <v>193292800</v>
      </c>
      <c r="H77" s="58">
        <f>G77</f>
        <v>193292800</v>
      </c>
      <c r="I77" s="58">
        <f>H77</f>
        <v>193292800</v>
      </c>
      <c r="J77" s="58">
        <f>[5]noviembre2020!$J$33</f>
        <v>177304803</v>
      </c>
      <c r="K77" s="59">
        <f>F77-G77</f>
        <v>20007200</v>
      </c>
    </row>
    <row r="78" spans="1:11">
      <c r="A78" s="73">
        <v>2102</v>
      </c>
      <c r="B78" s="49" t="s">
        <v>62</v>
      </c>
      <c r="C78" s="51">
        <f t="shared" ref="C78:K78" si="19">+C79+C85</f>
        <v>1150391777</v>
      </c>
      <c r="D78" s="51">
        <f t="shared" si="19"/>
        <v>870696938</v>
      </c>
      <c r="E78" s="51">
        <f t="shared" si="19"/>
        <v>677512581</v>
      </c>
      <c r="F78" s="51">
        <f t="shared" si="19"/>
        <v>1343576134</v>
      </c>
      <c r="G78" s="50">
        <f t="shared" si="19"/>
        <v>1202353790</v>
      </c>
      <c r="H78" s="51">
        <f t="shared" si="19"/>
        <v>595351870</v>
      </c>
      <c r="I78" s="51">
        <f t="shared" si="19"/>
        <v>488283147</v>
      </c>
      <c r="J78" s="51">
        <f t="shared" si="19"/>
        <v>445283147</v>
      </c>
      <c r="K78" s="52">
        <f t="shared" si="19"/>
        <v>141222344</v>
      </c>
    </row>
    <row r="79" spans="1:11">
      <c r="A79" s="73">
        <v>210201</v>
      </c>
      <c r="B79" s="49" t="s">
        <v>63</v>
      </c>
      <c r="C79" s="51">
        <f t="shared" ref="C79:K79" si="20">+C80+C81+C84</f>
        <v>95128762</v>
      </c>
      <c r="D79" s="51">
        <f t="shared" si="20"/>
        <v>479456938</v>
      </c>
      <c r="E79" s="51">
        <f t="shared" si="20"/>
        <v>64338686</v>
      </c>
      <c r="F79" s="51">
        <f t="shared" si="20"/>
        <v>510247014</v>
      </c>
      <c r="G79" s="50">
        <f t="shared" si="20"/>
        <v>430205495</v>
      </c>
      <c r="H79" s="51">
        <f t="shared" si="20"/>
        <v>9695201</v>
      </c>
      <c r="I79" s="51">
        <f t="shared" si="20"/>
        <v>8010102</v>
      </c>
      <c r="J79" s="51">
        <f t="shared" si="20"/>
        <v>8010102</v>
      </c>
      <c r="K79" s="52">
        <f t="shared" si="20"/>
        <v>80041519</v>
      </c>
    </row>
    <row r="80" spans="1:11">
      <c r="A80" s="72">
        <v>21020101</v>
      </c>
      <c r="B80" s="54" t="s">
        <v>64</v>
      </c>
      <c r="C80" s="55">
        <f>[5]enero2020!$C$34</f>
        <v>30000000</v>
      </c>
      <c r="D80" s="56">
        <v>9000000</v>
      </c>
      <c r="E80" s="75">
        <v>14338686</v>
      </c>
      <c r="F80" s="56">
        <f>C80+D80-E80</f>
        <v>24661314</v>
      </c>
      <c r="G80" s="57">
        <f>[5]noviembre2020!$D$34+[5]noviembre2020!$I$34</f>
        <v>24578484</v>
      </c>
      <c r="H80" s="58"/>
      <c r="I80" s="58"/>
      <c r="J80" s="58"/>
      <c r="K80" s="59">
        <f>F80-G80</f>
        <v>82830</v>
      </c>
    </row>
    <row r="81" spans="1:11" ht="15">
      <c r="A81" s="72">
        <v>21020103</v>
      </c>
      <c r="B81" s="54" t="s">
        <v>65</v>
      </c>
      <c r="C81" s="55">
        <f>[5]enero2020!$C$35</f>
        <v>50000000</v>
      </c>
      <c r="D81" s="62">
        <f>170000000+80000000+20000000+119035043+51421895+30000000</f>
        <v>470456938</v>
      </c>
      <c r="E81" s="62">
        <f>50000000</f>
        <v>50000000</v>
      </c>
      <c r="F81" s="56">
        <f>C81+D81-E81</f>
        <v>470456938</v>
      </c>
      <c r="G81" s="57">
        <f>[5]noviembre2020!$D$35</f>
        <v>395931810</v>
      </c>
      <c r="H81" s="58"/>
      <c r="I81" s="58"/>
      <c r="J81" s="58"/>
      <c r="K81" s="59">
        <f>F81-G81</f>
        <v>74525128</v>
      </c>
    </row>
    <row r="82" spans="1:11">
      <c r="A82" s="72">
        <v>21020105</v>
      </c>
      <c r="B82" s="54" t="s">
        <v>66</v>
      </c>
      <c r="C82" s="55">
        <v>0</v>
      </c>
      <c r="D82" s="56">
        <v>0</v>
      </c>
      <c r="E82" s="56"/>
      <c r="F82" s="56">
        <f>C82+D82-E82</f>
        <v>0</v>
      </c>
      <c r="G82" s="57">
        <v>0</v>
      </c>
      <c r="H82" s="58"/>
      <c r="I82" s="58"/>
      <c r="J82" s="58"/>
      <c r="K82" s="59">
        <f>F82-G82</f>
        <v>0</v>
      </c>
    </row>
    <row r="83" spans="1:11">
      <c r="A83" s="73">
        <v>21020198</v>
      </c>
      <c r="B83" s="49" t="s">
        <v>67</v>
      </c>
      <c r="C83" s="51">
        <f t="shared" ref="C83:K83" si="21">+C84</f>
        <v>15128762</v>
      </c>
      <c r="D83" s="51">
        <f>+D84</f>
        <v>0</v>
      </c>
      <c r="E83" s="51">
        <f>+E84</f>
        <v>0</v>
      </c>
      <c r="F83" s="51">
        <f t="shared" si="21"/>
        <v>15128762</v>
      </c>
      <c r="G83" s="50">
        <f t="shared" si="21"/>
        <v>9695201</v>
      </c>
      <c r="H83" s="51">
        <f t="shared" si="21"/>
        <v>9695201</v>
      </c>
      <c r="I83" s="51">
        <f t="shared" si="21"/>
        <v>8010102</v>
      </c>
      <c r="J83" s="51">
        <f t="shared" si="21"/>
        <v>8010102</v>
      </c>
      <c r="K83" s="52">
        <f t="shared" si="21"/>
        <v>5433561</v>
      </c>
    </row>
    <row r="84" spans="1:11" ht="15">
      <c r="A84" s="72">
        <v>2102019801</v>
      </c>
      <c r="B84" s="54" t="s">
        <v>68</v>
      </c>
      <c r="C84" s="55">
        <f>[5]enero2020!$C$36</f>
        <v>15128762</v>
      </c>
      <c r="D84" s="56"/>
      <c r="E84" s="56"/>
      <c r="F84" s="56">
        <f>C84+D84-E84</f>
        <v>15128762</v>
      </c>
      <c r="G84" s="57">
        <f>[5]noviembre2020!$H$36+[5]noviembre2020!$J$36</f>
        <v>9695201</v>
      </c>
      <c r="H84" s="76">
        <f>G84</f>
        <v>9695201</v>
      </c>
      <c r="I84" s="58">
        <f>[5]noviembre2020!$J$36</f>
        <v>8010102</v>
      </c>
      <c r="J84" s="58">
        <f>[5]noviembre2020!$J$36</f>
        <v>8010102</v>
      </c>
      <c r="K84" s="59">
        <f>F84-G84</f>
        <v>5433561</v>
      </c>
    </row>
    <row r="85" spans="1:11">
      <c r="A85" s="73">
        <v>210202</v>
      </c>
      <c r="B85" s="49" t="s">
        <v>69</v>
      </c>
      <c r="C85" s="51">
        <f>+C86+C87+C88+C90+C91+C92+C97+C98+C89</f>
        <v>1055263015</v>
      </c>
      <c r="D85" s="51">
        <f>+D86+D87+D89+D90+D91+D92+D97+D98</f>
        <v>391240000</v>
      </c>
      <c r="E85" s="51">
        <f>+E86+E87+E89+E90+E91+E92+E97+E98+E88</f>
        <v>613173895</v>
      </c>
      <c r="F85" s="51">
        <f t="shared" ref="F85:K85" si="22">+F86+F87+F88+F90+F91+F92+F97+F98+F89</f>
        <v>833329120</v>
      </c>
      <c r="G85" s="50">
        <f t="shared" si="22"/>
        <v>772148295</v>
      </c>
      <c r="H85" s="51">
        <f t="shared" si="22"/>
        <v>585656669</v>
      </c>
      <c r="I85" s="51">
        <f t="shared" si="22"/>
        <v>480273045</v>
      </c>
      <c r="J85" s="51">
        <f t="shared" si="22"/>
        <v>437273045</v>
      </c>
      <c r="K85" s="52">
        <f t="shared" si="22"/>
        <v>61180825</v>
      </c>
    </row>
    <row r="86" spans="1:11" ht="14.25">
      <c r="A86" s="72">
        <v>21020201</v>
      </c>
      <c r="B86" s="54" t="s">
        <v>70</v>
      </c>
      <c r="C86" s="55">
        <f>[5]enero2020!$C$37</f>
        <v>100000000</v>
      </c>
      <c r="D86" s="56"/>
      <c r="E86" s="67">
        <v>100000000</v>
      </c>
      <c r="F86" s="56">
        <f t="shared" ref="F86:F91" si="23">C86+D86-E86</f>
        <v>0</v>
      </c>
      <c r="G86" s="57">
        <f>[5]noviembre2020!$I$37</f>
        <v>0</v>
      </c>
      <c r="H86" s="58">
        <f>G86</f>
        <v>0</v>
      </c>
      <c r="I86" s="58"/>
      <c r="J86" s="58"/>
      <c r="K86" s="59">
        <f t="shared" ref="K86:K91" si="24">F86-G86</f>
        <v>0</v>
      </c>
    </row>
    <row r="87" spans="1:11" ht="15">
      <c r="A87" s="72">
        <v>21020203</v>
      </c>
      <c r="B87" s="54" t="s">
        <v>71</v>
      </c>
      <c r="C87" s="55">
        <f>[5]enero2020!$C$38</f>
        <v>28000000</v>
      </c>
      <c r="D87" s="62"/>
      <c r="E87" s="70">
        <v>26272000</v>
      </c>
      <c r="F87" s="56">
        <f t="shared" si="23"/>
        <v>1728000</v>
      </c>
      <c r="G87" s="57">
        <f>[5]noviembre2020!$J$38</f>
        <v>1727336</v>
      </c>
      <c r="H87" s="58">
        <f>G87</f>
        <v>1727336</v>
      </c>
      <c r="I87" s="58">
        <f>[5]noviembre2020!$J$38</f>
        <v>1727336</v>
      </c>
      <c r="J87" s="58">
        <f>[5]noviembre2020!$J$38</f>
        <v>1727336</v>
      </c>
      <c r="K87" s="59">
        <f t="shared" si="24"/>
        <v>664</v>
      </c>
    </row>
    <row r="88" spans="1:11" ht="15">
      <c r="A88" s="72">
        <v>21020207</v>
      </c>
      <c r="B88" s="54" t="s">
        <v>72</v>
      </c>
      <c r="C88" s="55">
        <v>0</v>
      </c>
      <c r="D88" s="62"/>
      <c r="E88" s="62"/>
      <c r="F88" s="56">
        <f t="shared" si="23"/>
        <v>0</v>
      </c>
      <c r="G88" s="57">
        <v>0</v>
      </c>
      <c r="H88" s="58"/>
      <c r="I88" s="58"/>
      <c r="J88" s="58"/>
      <c r="K88" s="59">
        <f t="shared" si="24"/>
        <v>0</v>
      </c>
    </row>
    <row r="89" spans="1:11" ht="14.25">
      <c r="A89" s="72"/>
      <c r="B89" s="54" t="s">
        <v>73</v>
      </c>
      <c r="C89" s="55">
        <f>[5]enero2020!$C$39</f>
        <v>6000000</v>
      </c>
      <c r="D89" s="56"/>
      <c r="E89" s="67">
        <v>5000000</v>
      </c>
      <c r="F89" s="56">
        <f t="shared" si="23"/>
        <v>1000000</v>
      </c>
      <c r="G89" s="57">
        <f>[5]noviembre2020!$F$39</f>
        <v>0</v>
      </c>
      <c r="H89" s="58"/>
      <c r="I89" s="58"/>
      <c r="J89" s="58"/>
      <c r="K89" s="59">
        <f>[5]noviembre2020!$L$39</f>
        <v>1000000</v>
      </c>
    </row>
    <row r="90" spans="1:11">
      <c r="A90" s="72">
        <v>21020211</v>
      </c>
      <c r="B90" s="54" t="s">
        <v>74</v>
      </c>
      <c r="C90" s="55">
        <f>[5]enero2020!$C$40</f>
        <v>70000000</v>
      </c>
      <c r="D90" s="56"/>
      <c r="E90" s="56">
        <v>70000000</v>
      </c>
      <c r="F90" s="56">
        <f t="shared" si="23"/>
        <v>0</v>
      </c>
      <c r="G90" s="57">
        <f>[5]septiembre2020!$H$40</f>
        <v>0</v>
      </c>
      <c r="H90" s="58">
        <v>0</v>
      </c>
      <c r="I90" s="58"/>
      <c r="J90" s="58"/>
      <c r="K90" s="59">
        <f t="shared" si="24"/>
        <v>0</v>
      </c>
    </row>
    <row r="91" spans="1:11" ht="14.25">
      <c r="A91" s="72">
        <v>21020213</v>
      </c>
      <c r="B91" s="54" t="s">
        <v>75</v>
      </c>
      <c r="C91" s="55">
        <f>[5]enero2020!$C$41</f>
        <v>35000000</v>
      </c>
      <c r="D91" s="56">
        <f>100000000+1000000</f>
        <v>101000000</v>
      </c>
      <c r="E91" s="25">
        <f>34240000</f>
        <v>34240000</v>
      </c>
      <c r="F91" s="56">
        <f t="shared" si="23"/>
        <v>101760000</v>
      </c>
      <c r="G91" s="57">
        <f>[5]noviembre2020!$D$41+[5]noviembre2020!$J$41</f>
        <v>101300000</v>
      </c>
      <c r="H91" s="58">
        <f>[5]noviembre2020!$J$41</f>
        <v>100760000</v>
      </c>
      <c r="I91" s="58">
        <f>[5]septiembre2020!$I$41+[5]septiembre2020!$J$41</f>
        <v>100760000</v>
      </c>
      <c r="J91" s="58">
        <f>[5]noviembre2020!$J$41</f>
        <v>100760000</v>
      </c>
      <c r="K91" s="59">
        <f t="shared" si="24"/>
        <v>460000</v>
      </c>
    </row>
    <row r="92" spans="1:11">
      <c r="A92" s="73">
        <v>21020215</v>
      </c>
      <c r="B92" s="49" t="s">
        <v>76</v>
      </c>
      <c r="C92" s="51">
        <f>+C93+C95+C96+C94</f>
        <v>205131355</v>
      </c>
      <c r="D92" s="51">
        <f>+D94+D95+D96+D93</f>
        <v>185000000</v>
      </c>
      <c r="E92" s="51">
        <f>+E94+E95+E96+E93</f>
        <v>146421895</v>
      </c>
      <c r="F92" s="51">
        <f t="shared" ref="F92:K92" si="25">+F93+F95+F96+F94</f>
        <v>243709460</v>
      </c>
      <c r="G92" s="50">
        <f t="shared" si="25"/>
        <v>232824633</v>
      </c>
      <c r="H92" s="51">
        <f>+H93+H95+H96+H94</f>
        <v>46873008</v>
      </c>
      <c r="I92" s="51">
        <f>+I93+I95+I96+I94</f>
        <v>44566607</v>
      </c>
      <c r="J92" s="51">
        <f>+J93+J95+J96+J94</f>
        <v>31566607</v>
      </c>
      <c r="K92" s="52">
        <f t="shared" si="25"/>
        <v>10884827</v>
      </c>
    </row>
    <row r="93" spans="1:11">
      <c r="A93" s="72">
        <v>2102021502</v>
      </c>
      <c r="B93" s="54" t="s">
        <v>77</v>
      </c>
      <c r="C93" s="55">
        <f>[5]enero2020!$C$43</f>
        <v>90000000</v>
      </c>
      <c r="D93" s="56">
        <f>2000000+100000000+1500000+25500000</f>
        <v>129000000</v>
      </c>
      <c r="E93" s="56">
        <f>15000000</f>
        <v>15000000</v>
      </c>
      <c r="F93" s="56">
        <f>C93+D93-E93</f>
        <v>204000000</v>
      </c>
      <c r="G93" s="57">
        <f>[5]noviembre2020!$D$43+[5]noviembre2020!$I$43+[5]noviembre2020!$J$43</f>
        <v>202939120</v>
      </c>
      <c r="H93" s="58">
        <f>[5]noviembre2020!$I$43+[5]noviembre2020!$J$43</f>
        <v>41565600</v>
      </c>
      <c r="I93" s="58">
        <f>[5]noviembre2020!$I$43+[5]noviembre2020!$J$43</f>
        <v>41565600</v>
      </c>
      <c r="J93" s="58">
        <f>[5]noviembre2020!$J$43</f>
        <v>28565600</v>
      </c>
      <c r="K93" s="59">
        <f>F93-G93</f>
        <v>1060880</v>
      </c>
    </row>
    <row r="94" spans="1:11">
      <c r="A94" s="72"/>
      <c r="B94" s="54" t="s">
        <v>78</v>
      </c>
      <c r="C94" s="55">
        <f>[5]enero2020!$C$42</f>
        <v>15131355</v>
      </c>
      <c r="D94" s="56"/>
      <c r="E94" s="56"/>
      <c r="F94" s="56">
        <f>C94+D94-E94</f>
        <v>15131355</v>
      </c>
      <c r="G94" s="57">
        <f>[5]noviembre2020!$H$42+[5]noviembre2020!$J$42</f>
        <v>5307408</v>
      </c>
      <c r="H94" s="58">
        <f>G94</f>
        <v>5307408</v>
      </c>
      <c r="I94" s="58">
        <f>[5]noviembre2020!$J$42</f>
        <v>3001007</v>
      </c>
      <c r="J94" s="58">
        <f>[5]noviembre2020!$J$42</f>
        <v>3001007</v>
      </c>
      <c r="K94" s="59">
        <f>F94-G94</f>
        <v>9823947</v>
      </c>
    </row>
    <row r="95" spans="1:11" ht="15">
      <c r="A95" s="72">
        <v>2102021503</v>
      </c>
      <c r="B95" s="54" t="s">
        <v>79</v>
      </c>
      <c r="C95" s="55">
        <f>[5]enero2020!$C$44</f>
        <v>100000000</v>
      </c>
      <c r="D95" s="56">
        <f>50000000+6000000</f>
        <v>56000000</v>
      </c>
      <c r="E95" s="74">
        <f>80000000+51421895</f>
        <v>131421895</v>
      </c>
      <c r="F95" s="56">
        <f>C95+D95-E95</f>
        <v>24578105</v>
      </c>
      <c r="G95" s="57">
        <f>[5]noviembre2020!$D$44+[5]noviembre2020!$G$44</f>
        <v>24578105</v>
      </c>
      <c r="H95" s="58"/>
      <c r="I95" s="58"/>
      <c r="J95" s="58"/>
      <c r="K95" s="59">
        <f>F95-G95</f>
        <v>0</v>
      </c>
    </row>
    <row r="96" spans="1:11">
      <c r="A96" s="72">
        <v>2102021504</v>
      </c>
      <c r="B96" s="54" t="s">
        <v>80</v>
      </c>
      <c r="C96" s="55">
        <v>0</v>
      </c>
      <c r="D96" s="56"/>
      <c r="E96" s="56"/>
      <c r="F96" s="56">
        <f>C96+D96-E96</f>
        <v>0</v>
      </c>
      <c r="G96" s="57">
        <f>'[6]enero '!$G$45</f>
        <v>0</v>
      </c>
      <c r="H96" s="58"/>
      <c r="I96" s="58"/>
      <c r="J96" s="58"/>
      <c r="K96" s="59">
        <f>F96-G96</f>
        <v>0</v>
      </c>
    </row>
    <row r="97" spans="1:11">
      <c r="A97" s="72">
        <v>21020227</v>
      </c>
      <c r="B97" s="54" t="s">
        <v>81</v>
      </c>
      <c r="C97" s="55">
        <f>[5]enero2020!$C$45</f>
        <v>470000000</v>
      </c>
      <c r="D97" s="56"/>
      <c r="E97" s="56"/>
      <c r="F97" s="56">
        <f>C97+D97-E97</f>
        <v>470000000</v>
      </c>
      <c r="G97" s="57">
        <f>[5]noviembre2020!$D$45+[5]noviembre2020!$H$45+[5]noviembre2020!$I$45+[5]noviembre2020!$J$45</f>
        <v>435116046</v>
      </c>
      <c r="H97" s="58">
        <f>[5]noviembre2020!$H$45+[5]noviembre2020!$I$45+[5]noviembre2020!$J$45</f>
        <v>435116045</v>
      </c>
      <c r="I97" s="58">
        <f>[5]noviembre2020!$I$45+[5]noviembre2020!$J$45</f>
        <v>332387902</v>
      </c>
      <c r="J97" s="58">
        <f>[5]noviembre2020!$J$45</f>
        <v>302387902</v>
      </c>
      <c r="K97" s="59">
        <f>F97-G97</f>
        <v>34883954</v>
      </c>
    </row>
    <row r="98" spans="1:11">
      <c r="A98" s="73">
        <v>21020298</v>
      </c>
      <c r="B98" s="49" t="s">
        <v>82</v>
      </c>
      <c r="C98" s="51">
        <f>+C99+C100+C101+C104+C102</f>
        <v>141131660</v>
      </c>
      <c r="D98" s="51">
        <f>+D99+D100+D101+D104+D103</f>
        <v>105240000</v>
      </c>
      <c r="E98" s="51">
        <f>+E99+E100+E101+E104+E103</f>
        <v>231240000</v>
      </c>
      <c r="F98" s="51">
        <f>+F99+F100+F101+F104+F103</f>
        <v>15131660</v>
      </c>
      <c r="G98" s="50">
        <f>+G99+G100+G101+G104+G102</f>
        <v>1180280</v>
      </c>
      <c r="H98" s="51">
        <f>+H99+H100+H101+H104</f>
        <v>1180280</v>
      </c>
      <c r="I98" s="51">
        <f>+I99+I100+I101+I104</f>
        <v>831200</v>
      </c>
      <c r="J98" s="51">
        <f>+J99+J100+J101+J104</f>
        <v>831200</v>
      </c>
      <c r="K98" s="52">
        <f>+K99+K100+K101+K104+K103</f>
        <v>13951380</v>
      </c>
    </row>
    <row r="99" spans="1:11" ht="15">
      <c r="A99" s="72">
        <v>2102029802</v>
      </c>
      <c r="B99" s="54" t="s">
        <v>83</v>
      </c>
      <c r="C99" s="55">
        <f>[5]enero2020!$C$46</f>
        <v>100000000</v>
      </c>
      <c r="D99" s="25">
        <v>104240000</v>
      </c>
      <c r="E99" s="62">
        <f>100000000+104240000</f>
        <v>204240000</v>
      </c>
      <c r="F99" s="56">
        <f>C99+D99-E99</f>
        <v>0</v>
      </c>
      <c r="G99" s="57">
        <f>[5]noviembre2020!$H$46</f>
        <v>0</v>
      </c>
      <c r="H99" s="58">
        <f>G99</f>
        <v>0</v>
      </c>
      <c r="I99" s="58"/>
      <c r="J99" s="58"/>
      <c r="K99" s="59">
        <f>F99-G99</f>
        <v>0</v>
      </c>
    </row>
    <row r="100" spans="1:11">
      <c r="A100" s="72">
        <v>2102029803</v>
      </c>
      <c r="B100" s="54" t="s">
        <v>84</v>
      </c>
      <c r="C100" s="55">
        <f>[5]enero2020!$C$47</f>
        <v>11000000</v>
      </c>
      <c r="D100" s="56">
        <v>1000000</v>
      </c>
      <c r="E100" s="70">
        <f>11000000+1000000</f>
        <v>12000000</v>
      </c>
      <c r="F100" s="56">
        <f>C100+D100-E100</f>
        <v>0</v>
      </c>
      <c r="G100" s="57">
        <f>[5]noviembre2020!$H$47</f>
        <v>0</v>
      </c>
      <c r="H100" s="58">
        <v>0</v>
      </c>
      <c r="I100" s="58">
        <v>0</v>
      </c>
      <c r="J100" s="58">
        <f>I100</f>
        <v>0</v>
      </c>
      <c r="K100" s="59">
        <f>F100-G100</f>
        <v>0</v>
      </c>
    </row>
    <row r="101" spans="1:11">
      <c r="A101" s="72">
        <v>2102029808</v>
      </c>
      <c r="B101" s="54" t="s">
        <v>85</v>
      </c>
      <c r="C101" s="55">
        <f>[5]enero2020!$C$48</f>
        <v>11000000</v>
      </c>
      <c r="D101" s="56"/>
      <c r="E101" s="56">
        <v>11000000</v>
      </c>
      <c r="F101" s="56">
        <f>C101+D101-E101</f>
        <v>0</v>
      </c>
      <c r="G101" s="57">
        <f>[5]noviembre2020!$H$48</f>
        <v>0</v>
      </c>
      <c r="H101" s="58">
        <v>0</v>
      </c>
      <c r="I101" s="58">
        <v>0</v>
      </c>
      <c r="J101" s="58">
        <v>0</v>
      </c>
      <c r="K101" s="59">
        <v>0</v>
      </c>
    </row>
    <row r="102" spans="1:11">
      <c r="A102" s="72"/>
      <c r="B102" s="49" t="s">
        <v>86</v>
      </c>
      <c r="C102" s="51">
        <f>C103</f>
        <v>4000000</v>
      </c>
      <c r="D102" s="56"/>
      <c r="E102" s="51">
        <f t="shared" ref="E102:J102" si="26">E103</f>
        <v>4000000</v>
      </c>
      <c r="F102" s="51">
        <f t="shared" si="26"/>
        <v>0</v>
      </c>
      <c r="G102" s="50">
        <f t="shared" si="26"/>
        <v>0</v>
      </c>
      <c r="H102" s="51">
        <f t="shared" si="26"/>
        <v>0</v>
      </c>
      <c r="I102" s="51">
        <f t="shared" si="26"/>
        <v>0</v>
      </c>
      <c r="J102" s="51">
        <f t="shared" si="26"/>
        <v>0</v>
      </c>
      <c r="K102" s="52">
        <f>K103</f>
        <v>0</v>
      </c>
    </row>
    <row r="103" spans="1:11">
      <c r="A103" s="72"/>
      <c r="B103" s="54" t="s">
        <v>86</v>
      </c>
      <c r="C103" s="55">
        <f>[5]enero2020!$C$50</f>
        <v>4000000</v>
      </c>
      <c r="D103" s="56"/>
      <c r="E103" s="70">
        <v>4000000</v>
      </c>
      <c r="F103" s="56">
        <f>C103+D103-E103</f>
        <v>0</v>
      </c>
      <c r="G103" s="57">
        <f>[5]noviembre2020!$H$50</f>
        <v>0</v>
      </c>
      <c r="H103" s="58">
        <v>0</v>
      </c>
      <c r="I103" s="58">
        <v>0</v>
      </c>
      <c r="J103" s="58">
        <v>0</v>
      </c>
      <c r="K103" s="59">
        <f>F103-G103</f>
        <v>0</v>
      </c>
    </row>
    <row r="104" spans="1:11">
      <c r="A104" s="72">
        <v>2102029809</v>
      </c>
      <c r="B104" s="54" t="s">
        <v>87</v>
      </c>
      <c r="C104" s="55">
        <f>[5]enero2020!$C$49</f>
        <v>15131660</v>
      </c>
      <c r="D104" s="56"/>
      <c r="E104" s="75"/>
      <c r="F104" s="56">
        <f>C104+D104-E104</f>
        <v>15131660</v>
      </c>
      <c r="G104" s="57">
        <f>[5]noviembre2020!$H$49+[5]noviembre2020!$J$49</f>
        <v>1180280</v>
      </c>
      <c r="H104" s="58">
        <f>[5]noviembre2020!$H$49+[5]noviembre2020!$J$49</f>
        <v>1180280</v>
      </c>
      <c r="I104" s="58">
        <f>[5]noviembre2020!$J$49</f>
        <v>831200</v>
      </c>
      <c r="J104" s="58">
        <f>[5]noviembre2020!$J$49</f>
        <v>831200</v>
      </c>
      <c r="K104" s="59">
        <f>F104-G104</f>
        <v>13951380</v>
      </c>
    </row>
    <row r="105" spans="1:11">
      <c r="A105" s="73"/>
      <c r="B105" s="49"/>
      <c r="C105" s="51"/>
      <c r="D105" s="51"/>
      <c r="E105" s="51"/>
      <c r="F105" s="51"/>
      <c r="G105" s="50"/>
      <c r="H105" s="51"/>
      <c r="I105" s="51"/>
      <c r="J105" s="51"/>
      <c r="K105" s="77"/>
    </row>
    <row r="106" spans="1:11">
      <c r="A106" s="72"/>
      <c r="B106" s="54"/>
      <c r="C106" s="56"/>
      <c r="D106" s="56"/>
      <c r="E106" s="56"/>
      <c r="F106" s="56"/>
      <c r="G106" s="57"/>
      <c r="H106" s="58"/>
      <c r="I106" s="58"/>
      <c r="J106" s="58"/>
      <c r="K106" s="78"/>
    </row>
    <row r="107" spans="1:11">
      <c r="A107" s="53"/>
      <c r="B107" s="54"/>
      <c r="C107" s="56"/>
      <c r="D107" s="56"/>
      <c r="E107" s="56"/>
      <c r="F107" s="56"/>
      <c r="G107" s="57"/>
      <c r="H107" s="58"/>
      <c r="I107" s="58"/>
      <c r="J107" s="58"/>
      <c r="K107" s="78"/>
    </row>
    <row r="108" spans="1:11">
      <c r="A108" s="53"/>
      <c r="B108" s="54"/>
      <c r="C108" s="56"/>
      <c r="D108" s="56"/>
      <c r="E108" s="56"/>
      <c r="F108" s="56"/>
      <c r="G108" s="57"/>
      <c r="H108" s="58"/>
      <c r="I108" s="58"/>
      <c r="J108" s="58"/>
      <c r="K108" s="78"/>
    </row>
    <row r="109" spans="1:11" ht="13.5" thickBot="1">
      <c r="A109" s="79"/>
      <c r="B109" s="80"/>
      <c r="C109" s="81"/>
      <c r="D109" s="81"/>
      <c r="E109" s="81"/>
      <c r="F109" s="56"/>
      <c r="G109" s="82"/>
      <c r="H109" s="83"/>
      <c r="I109" s="83"/>
      <c r="J109" s="83"/>
      <c r="K109" s="78"/>
    </row>
    <row r="110" spans="1:11" ht="13.5" thickBot="1">
      <c r="A110" s="84"/>
      <c r="B110" s="85" t="s">
        <v>88</v>
      </c>
      <c r="C110" s="86">
        <f>+C31+C105</f>
        <v>19623902545</v>
      </c>
      <c r="D110" s="87">
        <f t="shared" ref="D110:K110" si="27">+D31+D105</f>
        <v>1852047624</v>
      </c>
      <c r="E110" s="87">
        <f t="shared" si="27"/>
        <v>1852047624</v>
      </c>
      <c r="F110" s="86">
        <f>+F31+F105</f>
        <v>19623902545</v>
      </c>
      <c r="G110" s="87">
        <f t="shared" si="27"/>
        <v>18208368664</v>
      </c>
      <c r="H110" s="87">
        <f t="shared" si="27"/>
        <v>17546016986</v>
      </c>
      <c r="I110" s="87">
        <f>+I31+I105</f>
        <v>16494658518</v>
      </c>
      <c r="J110" s="87">
        <f t="shared" si="27"/>
        <v>15634352195</v>
      </c>
      <c r="K110" s="88">
        <f t="shared" si="27"/>
        <v>1415533881</v>
      </c>
    </row>
    <row r="111" spans="1:11">
      <c r="A111" s="89"/>
      <c r="B111" s="89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1:11">
      <c r="A112" s="89"/>
      <c r="B112" s="89"/>
      <c r="C112" s="90"/>
      <c r="D112" s="90">
        <f>D110-E110</f>
        <v>0</v>
      </c>
      <c r="E112" s="90"/>
      <c r="F112" s="90">
        <f>F110-F113</f>
        <v>0</v>
      </c>
      <c r="G112" s="90">
        <f>[5]noviembre2020!$D$3+[5]noviembre2020!$E$3+[5]noviembre2020!$H$3+[5]noviembre2020!$I$3+[5]noviembre2020!$J$3</f>
        <v>18208368664</v>
      </c>
      <c r="H112" s="90">
        <f>[5]noviembre2020!$H$3+[5]noviembre2020!$I$3+[5]noviembre2020!$J$3</f>
        <v>17546016986</v>
      </c>
      <c r="I112" s="90">
        <f>[5]noviembre2020!$I$3+[5]noviembre2020!$J$3</f>
        <v>16494658518</v>
      </c>
      <c r="J112" s="90">
        <f>[5]noviembre2020!$J$3</f>
        <v>15634352195</v>
      </c>
      <c r="K112" s="90">
        <f>[5]noviembre2020!$L$3</f>
        <v>1411533881</v>
      </c>
    </row>
    <row r="113" spans="1:11">
      <c r="A113" s="91"/>
      <c r="B113" s="92"/>
      <c r="C113" s="92"/>
      <c r="D113" s="92"/>
      <c r="E113" s="92"/>
      <c r="F113" s="92">
        <f>C110+D110-E110</f>
        <v>19623902545</v>
      </c>
      <c r="G113" s="93">
        <f>G110-G112</f>
        <v>0</v>
      </c>
      <c r="H113" s="93">
        <f>H110-H112</f>
        <v>0</v>
      </c>
      <c r="I113" s="93">
        <f>I110-I112</f>
        <v>0</v>
      </c>
      <c r="J113" s="93">
        <f>J110-J112</f>
        <v>0</v>
      </c>
      <c r="K113" s="26">
        <f>K110-K112</f>
        <v>4000000</v>
      </c>
    </row>
    <row r="114" spans="1:11" ht="15.75">
      <c r="A114" s="91"/>
      <c r="C114" s="94" t="s">
        <v>113</v>
      </c>
      <c r="D114" s="94"/>
      <c r="E114" s="94"/>
      <c r="F114" s="95"/>
      <c r="G114" s="96">
        <f>G112-[4]agosto2020!G112</f>
        <v>18208368664</v>
      </c>
      <c r="H114" s="96">
        <f>H110-[4]agosto2020!H112</f>
        <v>17546016986</v>
      </c>
      <c r="I114" s="96">
        <f>I112-[4]agosto2020!I112</f>
        <v>16494658518</v>
      </c>
      <c r="J114" s="96">
        <f>J112-[4]agosto2020!J112</f>
        <v>15634352195</v>
      </c>
      <c r="K114" s="97"/>
    </row>
    <row r="115" spans="1:11" ht="15.75">
      <c r="A115" s="91"/>
      <c r="C115" s="98"/>
      <c r="D115" s="99"/>
      <c r="E115" s="100"/>
      <c r="F115" s="101"/>
      <c r="G115" s="102"/>
      <c r="H115" s="103"/>
      <c r="I115" s="76" t="s">
        <v>89</v>
      </c>
      <c r="J115" s="93"/>
    </row>
    <row r="116" spans="1:11" ht="15.75">
      <c r="A116" s="91"/>
      <c r="C116" s="104"/>
      <c r="D116" s="105"/>
      <c r="E116" s="106"/>
      <c r="F116" s="107" t="s">
        <v>90</v>
      </c>
      <c r="G116" s="107" t="s">
        <v>91</v>
      </c>
      <c r="H116" s="108" t="s">
        <v>92</v>
      </c>
      <c r="I116" s="109" t="s">
        <v>93</v>
      </c>
    </row>
    <row r="117" spans="1:11" ht="15.75">
      <c r="A117" s="91"/>
      <c r="C117" s="110" t="s">
        <v>18</v>
      </c>
      <c r="D117" s="111"/>
      <c r="E117" s="112"/>
      <c r="F117" s="113">
        <f>C34</f>
        <v>9084857488</v>
      </c>
      <c r="G117" s="114">
        <f>H34</f>
        <v>7345242057</v>
      </c>
      <c r="H117" s="102">
        <f>K34</f>
        <v>693833862</v>
      </c>
      <c r="I117" s="115"/>
      <c r="J117" s="93"/>
      <c r="K117" s="116"/>
    </row>
    <row r="118" spans="1:11" ht="15.75">
      <c r="A118" s="91"/>
      <c r="C118" s="110" t="s">
        <v>34</v>
      </c>
      <c r="D118" s="111"/>
      <c r="E118" s="112"/>
      <c r="F118" s="113">
        <f>F119+F120</f>
        <v>7300000000</v>
      </c>
      <c r="G118" s="114">
        <f>G119+G120</f>
        <v>7897013631</v>
      </c>
      <c r="H118" s="114">
        <f>K52+K54</f>
        <v>200293823</v>
      </c>
      <c r="I118" s="115"/>
      <c r="J118" s="27"/>
      <c r="K118" s="93">
        <f>[5]noviembre2020!$K$4</f>
        <v>17546016986</v>
      </c>
    </row>
    <row r="119" spans="1:11" ht="15">
      <c r="A119" s="91"/>
      <c r="C119" s="104" t="s">
        <v>36</v>
      </c>
      <c r="D119" s="105"/>
      <c r="E119" s="106"/>
      <c r="F119" s="117">
        <f>C52</f>
        <v>4200000000</v>
      </c>
      <c r="G119" s="118">
        <f>H52</f>
        <v>4406033054</v>
      </c>
      <c r="H119" s="118">
        <f>K52</f>
        <v>129563632</v>
      </c>
      <c r="I119" s="119"/>
      <c r="J119" s="93"/>
      <c r="K119" s="120">
        <f>K118*100%/F110</f>
        <v>0.89411455982136301</v>
      </c>
    </row>
    <row r="120" spans="1:11" ht="15">
      <c r="C120" s="104" t="s">
        <v>94</v>
      </c>
      <c r="D120" s="105"/>
      <c r="E120" s="106"/>
      <c r="F120" s="117">
        <f>C54</f>
        <v>3100000000</v>
      </c>
      <c r="G120" s="118">
        <f>H54</f>
        <v>3490980577</v>
      </c>
      <c r="H120" s="118">
        <f>K54</f>
        <v>70730191</v>
      </c>
      <c r="I120" s="119"/>
      <c r="J120" s="93"/>
      <c r="K120" s="93"/>
    </row>
    <row r="121" spans="1:11" ht="15.75">
      <c r="C121" s="121" t="s">
        <v>95</v>
      </c>
      <c r="D121" s="122"/>
      <c r="E121" s="106"/>
      <c r="F121" s="114">
        <f>C78</f>
        <v>1150391777</v>
      </c>
      <c r="G121" s="114">
        <f>H78</f>
        <v>595351870</v>
      </c>
      <c r="H121" s="113">
        <f>K78</f>
        <v>141222344</v>
      </c>
      <c r="I121" s="115"/>
      <c r="J121" s="93"/>
      <c r="K121" s="97"/>
    </row>
    <row r="122" spans="1:11" ht="15.75">
      <c r="C122" s="121" t="s">
        <v>96</v>
      </c>
      <c r="D122" s="122"/>
      <c r="E122" s="106"/>
      <c r="F122" s="114">
        <f>F117+F118+F121</f>
        <v>17535249265</v>
      </c>
      <c r="G122" s="114">
        <f>G117+G118+G121</f>
        <v>15837607558</v>
      </c>
      <c r="H122" s="113">
        <f>H117+H118+H121</f>
        <v>1035350029</v>
      </c>
      <c r="I122" s="115"/>
      <c r="J122" s="92"/>
      <c r="K122" s="97"/>
    </row>
    <row r="123" spans="1:11" ht="15.75">
      <c r="C123" s="121" t="s">
        <v>97</v>
      </c>
      <c r="D123" s="122"/>
      <c r="E123" s="123"/>
      <c r="F123" s="117">
        <f>C51</f>
        <v>2088653280</v>
      </c>
      <c r="G123" s="118">
        <f>H51</f>
        <v>1708409428</v>
      </c>
      <c r="H123" s="117">
        <f>K51</f>
        <v>380183852</v>
      </c>
      <c r="I123" s="119"/>
      <c r="K123" s="93"/>
    </row>
    <row r="124" spans="1:11" ht="15.75">
      <c r="C124" s="124" t="s">
        <v>98</v>
      </c>
      <c r="D124" s="125"/>
      <c r="E124" s="126"/>
      <c r="F124" s="127">
        <f>F117+F118+F121+F123</f>
        <v>19623902545</v>
      </c>
      <c r="G124" s="128">
        <f>G117+G118+G121+G123</f>
        <v>17546016986</v>
      </c>
      <c r="H124" s="129">
        <f>H117+H118+H121+H123</f>
        <v>1415533881</v>
      </c>
      <c r="I124" s="130">
        <f>'[4]noviembre de 2020'!$I$97</f>
        <v>0.92805601976041818</v>
      </c>
      <c r="J124" s="97"/>
      <c r="K124" s="97"/>
    </row>
    <row r="125" spans="1:11" ht="15">
      <c r="C125" s="131"/>
      <c r="D125" s="105"/>
      <c r="E125" s="105"/>
      <c r="F125" s="105"/>
      <c r="G125" s="105"/>
      <c r="H125" s="105"/>
      <c r="J125" s="97"/>
    </row>
  </sheetData>
  <pageMargins left="1.1023622047244095" right="0.70866141732283472" top="0.74803149606299213" bottom="0.74803149606299213" header="0.31496062992125984" footer="0.31496062992125984"/>
  <pageSetup paperSize="13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topLeftCell="A18" workbookViewId="0">
      <selection activeCell="A9" sqref="A9"/>
    </sheetView>
  </sheetViews>
  <sheetFormatPr baseColWidth="10" defaultRowHeight="15"/>
  <cols>
    <col min="1" max="1" width="75.85546875" customWidth="1"/>
    <col min="2" max="2" width="48.5703125" customWidth="1"/>
    <col min="3" max="3" width="44.85546875" customWidth="1"/>
  </cols>
  <sheetData>
    <row r="1" spans="1:32" ht="20.25">
      <c r="A1" s="2" t="s">
        <v>99</v>
      </c>
      <c r="B1" s="3"/>
      <c r="C1" s="3"/>
      <c r="D1" s="4"/>
      <c r="E1" s="4"/>
      <c r="F1" s="4"/>
    </row>
    <row r="2" spans="1:32" ht="20.25">
      <c r="A2" s="5" t="s">
        <v>110</v>
      </c>
      <c r="B2" s="6" t="s">
        <v>100</v>
      </c>
      <c r="C2" s="7" t="s">
        <v>101</v>
      </c>
      <c r="D2" s="4"/>
      <c r="E2" s="4"/>
      <c r="F2" s="4"/>
    </row>
    <row r="3" spans="1:32" ht="15.75">
      <c r="A3" s="8" t="s">
        <v>102</v>
      </c>
      <c r="B3" s="9">
        <f>'[1]mayo de 2020 '!$F$95</f>
        <v>17531249265</v>
      </c>
      <c r="C3" s="9">
        <f>'[4]noviembre de 2020'!$G$95</f>
        <v>15837607558</v>
      </c>
      <c r="D3" s="4"/>
      <c r="E3" s="4"/>
      <c r="F3" s="4"/>
    </row>
    <row r="4" spans="1:32" ht="15.75">
      <c r="A4" s="8" t="s">
        <v>97</v>
      </c>
      <c r="B4" s="10">
        <f>'[1]mayo de 2020 '!$F$96</f>
        <v>2088653280</v>
      </c>
      <c r="C4" s="10">
        <f>'[4]noviembre de 2020'!$G$96</f>
        <v>1708409428</v>
      </c>
      <c r="D4" s="4"/>
      <c r="E4" s="4"/>
      <c r="F4" s="4"/>
    </row>
    <row r="5" spans="1:32" ht="15.75">
      <c r="A5" s="8" t="s">
        <v>103</v>
      </c>
      <c r="B5" s="9">
        <f>B3+B4</f>
        <v>19619902545</v>
      </c>
      <c r="C5" s="9">
        <f>SUM(C3:C4)</f>
        <v>17546016986</v>
      </c>
      <c r="D5" s="4"/>
      <c r="E5" s="4"/>
      <c r="F5" s="4"/>
    </row>
    <row r="6" spans="1:32">
      <c r="A6" s="11" t="s">
        <v>104</v>
      </c>
      <c r="B6" s="12"/>
      <c r="C6" s="12">
        <f>'[4]noviembre de 2020'!$I$97</f>
        <v>0.92805601976041818</v>
      </c>
      <c r="D6" s="4"/>
      <c r="E6" s="4"/>
      <c r="F6" s="4"/>
    </row>
    <row r="7" spans="1:32">
      <c r="A7" s="4"/>
      <c r="B7" s="4"/>
      <c r="C7" s="4"/>
      <c r="D7" s="4"/>
      <c r="E7" s="4"/>
      <c r="F7" s="4"/>
    </row>
    <row r="8" spans="1:32">
      <c r="A8" s="20" t="s">
        <v>109</v>
      </c>
      <c r="B8" s="4"/>
      <c r="C8" s="4"/>
      <c r="D8" s="4"/>
      <c r="E8" s="4"/>
      <c r="F8" s="4"/>
    </row>
    <row r="9" spans="1:32" ht="114.75">
      <c r="A9" s="13" t="s">
        <v>111</v>
      </c>
      <c r="B9" s="13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>
      <c r="A10" s="13"/>
      <c r="B10" s="13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>
      <c r="A11" s="19"/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>
      <c r="A12" s="19"/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>
      <c r="A13" s="19"/>
      <c r="B13" s="13"/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>
      <c r="A14" s="13"/>
      <c r="B14" s="14"/>
      <c r="C14" s="14"/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>
      <c r="A15" s="13"/>
    </row>
    <row r="16" spans="1:32" ht="23.25">
      <c r="A16" s="15" t="s">
        <v>105</v>
      </c>
      <c r="B16" s="15" t="s">
        <v>106</v>
      </c>
      <c r="C16" s="15" t="s">
        <v>107</v>
      </c>
    </row>
    <row r="17" spans="1:3" ht="23.25">
      <c r="A17" s="16">
        <f>B3</f>
        <v>17531249265</v>
      </c>
      <c r="B17" s="17">
        <f>C5</f>
        <v>17546016986</v>
      </c>
      <c r="C17" s="18">
        <f>C6</f>
        <v>0.92805601976041818</v>
      </c>
    </row>
    <row r="39" spans="1:1">
      <c r="A39" t="s">
        <v>108</v>
      </c>
    </row>
  </sheetData>
  <pageMargins left="0.9055118110236221" right="0.70866141732283472" top="0.74803149606299213" bottom="0.74803149606299213" header="0.31496062992125984" footer="0.31496062992125984"/>
  <pageSetup paperSize="13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ejecucion NOVIIEMB2020</vt:lpstr>
      <vt:lpstr>grafico ejecuionNOVI2020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2020-06-24T17:01:32Z</cp:lastPrinted>
  <dcterms:created xsi:type="dcterms:W3CDTF">2020-06-02T23:14:51Z</dcterms:created>
  <dcterms:modified xsi:type="dcterms:W3CDTF">2020-12-13T03:30:45Z</dcterms:modified>
</cp:coreProperties>
</file>